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site.adient.com/personal/apongad_adient_com/Documents/Backup 08032020/EDI COE/"/>
    </mc:Choice>
  </mc:AlternateContent>
  <xr:revisionPtr revIDLastSave="22" documentId="8_{5F597D60-3BFA-40B7-82AA-6B2F187A7BC8}" xr6:coauthVersionLast="47" xr6:coauthVersionMax="47" xr10:uidLastSave="{97E96BBF-0B4F-42AB-9E09-F56EE637C528}"/>
  <bookViews>
    <workbookView xWindow="-120" yWindow="-120" windowWidth="29040" windowHeight="15720" xr2:uid="{00000000-000D-0000-FFFF-FFFF00000000}"/>
  </bookViews>
  <sheets>
    <sheet name="Adient EDI Form" sheetId="1" r:id="rId1"/>
    <sheet name="ADIENT_master_starter" sheetId="9" state="hidden" r:id="rId2"/>
    <sheet name="docs" sheetId="6" state="hidden" r:id="rId3"/>
    <sheet name="COMM" sheetId="4" state="hidden" r:id="rId4"/>
    <sheet name="Adient ERP" sheetId="11" state="hidden" r:id="rId5"/>
    <sheet name="definitions" sheetId="8" r:id="rId6"/>
    <sheet name="Plant Listing" sheetId="2" state="hidden" r:id="rId7"/>
    <sheet name="Checklist" sheetId="10" state="hidden" r:id="rId8"/>
    <sheet name="Format" sheetId="5" state="hidden" r:id="rId9"/>
  </sheets>
  <definedNames>
    <definedName name="_xlnm._FilterDatabase" localSheetId="6" hidden="1">'Plant Listing'!$A$1:$Y$134</definedName>
    <definedName name="ANSI_x12">docs!$A$2:$A$37</definedName>
    <definedName name="EDIFACT">docs!$B$2:$B$37</definedName>
    <definedName name="Odette">docs!$C$2:$C$40</definedName>
    <definedName name="Web_EDI">docs!$D$2:$D$4</definedName>
  </definedNames>
  <calcPr calcId="191028"/>
  <customWorkbookViews>
    <customWorkbookView name="Darlene Pongallo - Personal View" guid="{9D929ADD-7BFC-45ED-8BCA-2599FB1543BC}" mergeInterval="0" personalView="1" maximized="1" xWindow="-8" yWindow="-8" windowWidth="1936" windowHeight="106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5" l="1"/>
  <c r="A3" i="5" l="1"/>
  <c r="I29" i="1" l="1"/>
  <c r="I35" i="1"/>
  <c r="K35" i="1"/>
  <c r="I31" i="1"/>
  <c r="I30" i="1"/>
  <c r="K30" i="1"/>
  <c r="K31" i="1"/>
  <c r="K33" i="1"/>
  <c r="I34" i="1"/>
  <c r="I33" i="1"/>
  <c r="I32" i="1"/>
  <c r="K32" i="1"/>
  <c r="K34" i="1"/>
  <c r="M12" i="1"/>
  <c r="P2" i="4" s="1"/>
  <c r="R3" i="4" l="1"/>
  <c r="D7" i="1"/>
  <c r="I67" i="1"/>
  <c r="I66" i="1"/>
  <c r="I65" i="1"/>
  <c r="I64" i="1"/>
  <c r="I63" i="1"/>
  <c r="I61" i="1"/>
  <c r="L55" i="1"/>
  <c r="L54" i="1"/>
  <c r="L53" i="1"/>
  <c r="I54" i="1"/>
  <c r="I53" i="1"/>
  <c r="I55" i="1"/>
  <c r="C56" i="1"/>
  <c r="I58" i="1"/>
  <c r="D29" i="1" l="1"/>
  <c r="C28" i="1"/>
  <c r="M4" i="9"/>
  <c r="C4" i="9" s="1"/>
  <c r="M5" i="9"/>
  <c r="L5" i="9" s="1"/>
  <c r="M6" i="9"/>
  <c r="I6" i="9" s="1"/>
  <c r="M7" i="9"/>
  <c r="C7" i="9" s="1"/>
  <c r="C3" i="11"/>
  <c r="R3" i="11" s="1"/>
  <c r="C2" i="11"/>
  <c r="R2" i="11" s="1"/>
  <c r="N3" i="9"/>
  <c r="C14" i="1"/>
  <c r="C13" i="1"/>
  <c r="J10" i="9"/>
  <c r="J9" i="9"/>
  <c r="K51" i="1"/>
  <c r="O3" i="11" s="1"/>
  <c r="D50" i="1"/>
  <c r="L12" i="1"/>
  <c r="M3" i="9"/>
  <c r="Q3" i="9" s="1"/>
  <c r="M2" i="9"/>
  <c r="K10" i="9"/>
  <c r="K9" i="9"/>
  <c r="N10" i="9"/>
  <c r="N9" i="9"/>
  <c r="I49" i="1"/>
  <c r="M9" i="9"/>
  <c r="M10" i="9"/>
  <c r="F2" i="11"/>
  <c r="J2" i="11"/>
  <c r="F3" i="11"/>
  <c r="J3" i="11"/>
  <c r="L3" i="9"/>
  <c r="L9" i="9"/>
  <c r="L2" i="9"/>
  <c r="L10" i="9"/>
  <c r="A10" i="9"/>
  <c r="A9" i="9"/>
  <c r="C9" i="9"/>
  <c r="C10" i="9"/>
  <c r="D36" i="1"/>
  <c r="A34" i="8"/>
  <c r="A33" i="8"/>
  <c r="C29" i="1"/>
  <c r="I12" i="1"/>
  <c r="C17" i="1"/>
  <c r="I57" i="1"/>
  <c r="C57" i="1"/>
  <c r="I56" i="1"/>
  <c r="C55" i="1"/>
  <c r="C54" i="1"/>
  <c r="C53" i="1"/>
  <c r="I52" i="1"/>
  <c r="C52" i="1"/>
  <c r="I51" i="1"/>
  <c r="C51" i="1"/>
  <c r="I50" i="1"/>
  <c r="C50" i="1"/>
  <c r="C49" i="1"/>
  <c r="K38" i="1"/>
  <c r="I38" i="1"/>
  <c r="K37" i="1"/>
  <c r="I37" i="1"/>
  <c r="C30" i="1"/>
  <c r="D35" i="1"/>
  <c r="D55" i="1"/>
  <c r="D34" i="1"/>
  <c r="D54" i="1"/>
  <c r="D33" i="1"/>
  <c r="D53" i="1"/>
  <c r="D32" i="1"/>
  <c r="D52" i="1"/>
  <c r="D31" i="1"/>
  <c r="D51" i="1"/>
  <c r="C36" i="1"/>
  <c r="C35" i="1"/>
  <c r="C34" i="1"/>
  <c r="C33" i="1"/>
  <c r="C32" i="1"/>
  <c r="C31" i="1"/>
  <c r="K49" i="1"/>
  <c r="E2" i="9" s="1"/>
  <c r="K4" i="11"/>
  <c r="P6" i="9"/>
  <c r="G6" i="9"/>
  <c r="D6" i="9"/>
  <c r="L4" i="9"/>
  <c r="R10" i="9"/>
  <c r="R9" i="9"/>
  <c r="K50" i="1"/>
  <c r="F3" i="9" s="1"/>
  <c r="F10" i="9"/>
  <c r="F9" i="9"/>
  <c r="Q10" i="9"/>
  <c r="Q9" i="9"/>
  <c r="K52" i="1"/>
  <c r="E10" i="9"/>
  <c r="E9" i="9"/>
  <c r="B10" i="9"/>
  <c r="B9" i="9"/>
  <c r="D10" i="9"/>
  <c r="P10" i="9"/>
  <c r="P9" i="9"/>
  <c r="D9" i="9"/>
  <c r="B6" i="9"/>
  <c r="I62" i="1" l="1"/>
  <c r="F3" i="4"/>
  <c r="C2" i="5"/>
  <c r="C3" i="5"/>
  <c r="D4" i="11"/>
  <c r="N4" i="9"/>
  <c r="L4" i="11"/>
  <c r="E4" i="11"/>
  <c r="N4" i="11"/>
  <c r="Y4" i="9"/>
  <c r="G4" i="11"/>
  <c r="Q4" i="9"/>
  <c r="J4" i="9"/>
  <c r="R5" i="9"/>
  <c r="G4" i="9"/>
  <c r="F4" i="9"/>
  <c r="J4" i="11"/>
  <c r="C4" i="11"/>
  <c r="K4" i="9"/>
  <c r="P4" i="9"/>
  <c r="H4" i="9"/>
  <c r="A4" i="9"/>
  <c r="M4" i="11"/>
  <c r="G5" i="9"/>
  <c r="R4" i="9"/>
  <c r="E4" i="9"/>
  <c r="B4" i="9"/>
  <c r="D4" i="9"/>
  <c r="O4" i="11"/>
  <c r="N7" i="9"/>
  <c r="J7" i="9"/>
  <c r="J14" i="1"/>
  <c r="L62" i="1"/>
  <c r="D5" i="9"/>
  <c r="K5" i="9"/>
  <c r="P5" i="9"/>
  <c r="Y5" i="9"/>
  <c r="H5" i="9"/>
  <c r="C5" i="9"/>
  <c r="J5" i="9"/>
  <c r="N5" i="9"/>
  <c r="I5" i="9"/>
  <c r="A5" i="9"/>
  <c r="A6" i="9"/>
  <c r="L6" i="9"/>
  <c r="R6" i="9"/>
  <c r="E5" i="9"/>
  <c r="Q5" i="9"/>
  <c r="N6" i="9"/>
  <c r="F5" i="9"/>
  <c r="B5" i="9"/>
  <c r="Q6" i="9"/>
  <c r="F6" i="9"/>
  <c r="J6" i="9"/>
  <c r="E6" i="9"/>
  <c r="Y6" i="9"/>
  <c r="P7" i="9"/>
  <c r="E7" i="9"/>
  <c r="K7" i="9"/>
  <c r="A7" i="9"/>
  <c r="H7" i="9"/>
  <c r="Q7" i="9"/>
  <c r="B7" i="9"/>
  <c r="Y7" i="9"/>
  <c r="G7" i="9"/>
  <c r="K6" i="9"/>
  <c r="R7" i="9"/>
  <c r="L7" i="9"/>
  <c r="F7" i="9"/>
  <c r="D7" i="9"/>
  <c r="D3" i="9"/>
  <c r="D2" i="9"/>
  <c r="E3" i="6"/>
  <c r="I7" i="9"/>
  <c r="C6" i="9"/>
  <c r="I4" i="9"/>
  <c r="H6" i="9"/>
  <c r="J13" i="1"/>
  <c r="J15" i="1"/>
  <c r="E2" i="6"/>
  <c r="N2" i="9"/>
  <c r="O2" i="11"/>
  <c r="C3" i="9"/>
  <c r="R2" i="9"/>
  <c r="K2" i="9"/>
  <c r="H2" i="11"/>
  <c r="A2" i="9"/>
  <c r="Q2" i="11"/>
  <c r="P2" i="11" s="1"/>
  <c r="B2" i="9"/>
  <c r="G2" i="11"/>
  <c r="D2" i="11"/>
  <c r="I2" i="11"/>
  <c r="J2" i="9"/>
  <c r="K2" i="11"/>
  <c r="I2" i="9"/>
  <c r="P2" i="9" s="1"/>
  <c r="C2" i="9"/>
  <c r="H2" i="9"/>
  <c r="Y2" i="9"/>
  <c r="Q2" i="9"/>
  <c r="K3" i="9"/>
  <c r="G3" i="11"/>
  <c r="B3" i="9"/>
  <c r="F2" i="9"/>
  <c r="Q3" i="11"/>
  <c r="Y3" i="9"/>
  <c r="J3" i="9"/>
  <c r="E3" i="9"/>
  <c r="K3" i="11"/>
  <c r="R3" i="9"/>
  <c r="D3" i="11"/>
  <c r="I3" i="9"/>
  <c r="N2" i="11"/>
  <c r="H3" i="9"/>
  <c r="H3" i="11"/>
  <c r="I3" i="11"/>
  <c r="A3" i="9"/>
  <c r="N3" i="11"/>
  <c r="K29" i="1" l="1"/>
  <c r="P3" i="11"/>
  <c r="D30" i="1"/>
  <c r="M3" i="11"/>
  <c r="E2" i="11"/>
  <c r="G9" i="9"/>
  <c r="G10" i="9"/>
  <c r="I9" i="9"/>
  <c r="I10" i="9"/>
  <c r="H9" i="9"/>
  <c r="H10" i="9"/>
  <c r="Y9" i="9"/>
  <c r="Y10" i="9"/>
  <c r="M2" i="11"/>
  <c r="P3" i="9"/>
  <c r="E3" i="11"/>
  <c r="K27" i="1" l="1"/>
  <c r="L3" i="11"/>
  <c r="G3" i="9"/>
  <c r="L2" i="11"/>
  <c r="G2" i="9"/>
</calcChain>
</file>

<file path=xl/sharedStrings.xml><?xml version="1.0" encoding="utf-8"?>
<sst xmlns="http://schemas.openxmlformats.org/spreadsheetml/2006/main" count="1898" uniqueCount="1222">
  <si>
    <t xml:space="preserve">Last Form Update: </t>
  </si>
  <si>
    <t>Trading Partner Information</t>
  </si>
  <si>
    <t>Please fill out all fields in yellow</t>
  </si>
  <si>
    <t>Trading Partner Type:</t>
  </si>
  <si>
    <t>Plant Name</t>
  </si>
  <si>
    <t>Contact:</t>
  </si>
  <si>
    <t>email:</t>
  </si>
  <si>
    <t>Phone:</t>
  </si>
  <si>
    <t>Subsidiary / Parent Company (if applicable)</t>
  </si>
  <si>
    <t>Adient Information - Select Connection, Connection type, and Format from drop down</t>
  </si>
  <si>
    <t>Connection</t>
  </si>
  <si>
    <t>Type</t>
  </si>
  <si>
    <t>Format</t>
  </si>
  <si>
    <t xml:space="preserve"> New EDI connection</t>
  </si>
  <si>
    <t xml:space="preserve">  </t>
  </si>
  <si>
    <t xml:space="preserve"> </t>
  </si>
  <si>
    <t>EDI Information to be filled out by the Trading Partner and returned back to the plant contact</t>
  </si>
  <si>
    <t>Web Forms are avaialble for those vendors who can not set up traditional EDI</t>
  </si>
  <si>
    <t>Primary Contact</t>
  </si>
  <si>
    <t>Business Contact:</t>
  </si>
  <si>
    <t>Fax:</t>
  </si>
  <si>
    <t>Email:</t>
  </si>
  <si>
    <t>direction</t>
  </si>
  <si>
    <t>Documents to be traded</t>
  </si>
  <si>
    <t>Version:</t>
  </si>
  <si>
    <t>Interchange Version:</t>
  </si>
  <si>
    <t>Important:  On the Plant Listing Tab, identify all plants for which you do business</t>
  </si>
  <si>
    <t>Return Completed Form To</t>
  </si>
  <si>
    <t>Trading Partners send form back to your Adient plant contact so they may forward it to our Helpdesk</t>
  </si>
  <si>
    <t>Adient EDI Group Use Only</t>
  </si>
  <si>
    <t>Database Updated:</t>
  </si>
  <si>
    <t>Plant System Updated:</t>
  </si>
  <si>
    <t>Revision Date:</t>
  </si>
  <si>
    <t>ITSM reference number:</t>
  </si>
  <si>
    <t>Revised:</t>
  </si>
  <si>
    <t>eB2:</t>
  </si>
  <si>
    <t>Data Format</t>
  </si>
  <si>
    <t>TP Interchange</t>
  </si>
  <si>
    <t>Int Qual</t>
  </si>
  <si>
    <t>TP UNB Routing</t>
  </si>
  <si>
    <t>TP GS/ UNG Group</t>
  </si>
  <si>
    <t>UNG Qual</t>
  </si>
  <si>
    <t>Adient Interchange</t>
  </si>
  <si>
    <t>Adient UNB Routing</t>
  </si>
  <si>
    <t>Adient GS/UNG Group</t>
  </si>
  <si>
    <t>Direction</t>
  </si>
  <si>
    <t>Doc Type</t>
  </si>
  <si>
    <t>V</t>
  </si>
  <si>
    <t>Release / Assc</t>
  </si>
  <si>
    <t>OFTP VFN</t>
  </si>
  <si>
    <t>ISA Version or UNB syntax level</t>
  </si>
  <si>
    <t>Send 997s or CONTRLs?</t>
  </si>
  <si>
    <t>ISA Segment Terminator</t>
  </si>
  <si>
    <t>ISA Element Separator</t>
  </si>
  <si>
    <t>ISA Sub-Element Separator</t>
  </si>
  <si>
    <t>ISA Repetition Separator (v4020 and above)</t>
  </si>
  <si>
    <t>Prod / Test</t>
  </si>
  <si>
    <t>Other Notes</t>
  </si>
  <si>
    <t>Trading Partner Type</t>
  </si>
  <si>
    <t>ANSI x12</t>
  </si>
  <si>
    <t>EDIFACT</t>
  </si>
  <si>
    <t>Odette</t>
  </si>
  <si>
    <t>Web EDI</t>
  </si>
  <si>
    <t>DELFOR</t>
  </si>
  <si>
    <t>DELINS</t>
  </si>
  <si>
    <t>Schedules</t>
  </si>
  <si>
    <t>DESADV</t>
  </si>
  <si>
    <t>AVIEXP</t>
  </si>
  <si>
    <t>Advanced Shipping Notification</t>
  </si>
  <si>
    <t>DELJIT</t>
  </si>
  <si>
    <t>INVOIC</t>
  </si>
  <si>
    <t xml:space="preserve"> Use of existing EDI connection</t>
  </si>
  <si>
    <t>AS2</t>
  </si>
  <si>
    <t>AS2 HTTPS URL:</t>
  </si>
  <si>
    <t>PORT:</t>
  </si>
  <si>
    <t>AS2 Station ID - Test</t>
  </si>
  <si>
    <t>AS2 Station ID Prod</t>
  </si>
  <si>
    <t>AS2 Content:</t>
  </si>
  <si>
    <t>application/edifact for EDIFACT</t>
  </si>
  <si>
    <t>Outbound Proxy:</t>
  </si>
  <si>
    <t>Certificate download</t>
  </si>
  <si>
    <t xml:space="preserve"> Change of EDI connection</t>
  </si>
  <si>
    <t>OFTP2</t>
  </si>
  <si>
    <t>SSID</t>
  </si>
  <si>
    <t>SFID</t>
  </si>
  <si>
    <t>Network Address</t>
  </si>
  <si>
    <t xml:space="preserve">Inbound : </t>
  </si>
  <si>
    <t xml:space="preserve">Outbound : </t>
  </si>
  <si>
    <t>Ports</t>
  </si>
  <si>
    <t>6619 (TLS only)</t>
  </si>
  <si>
    <t>Password</t>
  </si>
  <si>
    <t>EERP</t>
  </si>
  <si>
    <t>Yes / No</t>
  </si>
  <si>
    <t>Encription</t>
  </si>
  <si>
    <t>Yes  /  No  /  NA</t>
  </si>
  <si>
    <t>Encription Algorithum</t>
  </si>
  <si>
    <t>AES256 / 3DES</t>
  </si>
  <si>
    <t>Address</t>
  </si>
  <si>
    <t>List Type</t>
  </si>
  <si>
    <t>Trading Prtnr Interface ID</t>
  </si>
  <si>
    <t>Trading Prtnr EDI ID</t>
  </si>
  <si>
    <t>EDI Standard</t>
  </si>
  <si>
    <t>EDI Standard Level</t>
  </si>
  <si>
    <t>l-translate</t>
  </si>
  <si>
    <t>l-com</t>
  </si>
  <si>
    <t>l-schedule-type</t>
  </si>
  <si>
    <t>l-unb-0004</t>
  </si>
  <si>
    <t>l-unb-0008</t>
  </si>
  <si>
    <t>l-unb-0010</t>
  </si>
  <si>
    <t>l-unb-0014</t>
  </si>
  <si>
    <t>TP id</t>
  </si>
  <si>
    <t>TP site</t>
  </si>
  <si>
    <t>TP adress</t>
  </si>
  <si>
    <t>`</t>
  </si>
  <si>
    <t>Adient Customer Name</t>
  </si>
  <si>
    <t>Name of the Adient customer, if not customer, then change Trading Partner Type value to supplier or intercompany.</t>
  </si>
  <si>
    <t>Adient Vendor #</t>
  </si>
  <si>
    <t>Number in the Adient ERP which represents the vendor or supplier.</t>
  </si>
  <si>
    <t>Adient Vendor Name</t>
  </si>
  <si>
    <t>Name of the Adient vendor, if not a supplier, then change Trading Partner Type value to customer or intercompany.</t>
  </si>
  <si>
    <t>AS2 Content</t>
  </si>
  <si>
    <t>Used for AS2 connection, folder directory for AS2 content.</t>
  </si>
  <si>
    <t>AS2 HTTPS URL</t>
  </si>
  <si>
    <t>Web address fro AS2 connection.</t>
  </si>
  <si>
    <t xml:space="preserve">Test id for trading test files. Allows for a shared connection with production data. </t>
  </si>
  <si>
    <t xml:space="preserve">Production id for trading production data files. </t>
  </si>
  <si>
    <t>Business Contact</t>
  </si>
  <si>
    <t>Contact responsible for the data.</t>
  </si>
  <si>
    <t>Website to download the certificates needed for EDI</t>
  </si>
  <si>
    <t>Connection Type</t>
  </si>
  <si>
    <t>What type of connection is requeted.  New, change to existing, etc.</t>
  </si>
  <si>
    <t>Customer #</t>
  </si>
  <si>
    <t>Number in the Adient ERP which represents the customer.</t>
  </si>
  <si>
    <t>Customer # for Adient</t>
  </si>
  <si>
    <t>An Adient supplier will refer to Adient by a customer number, enter that value here.  Also known as, customer number at vendor.</t>
  </si>
  <si>
    <t>EDI Data Format</t>
  </si>
  <si>
    <t>Which standards will be used to trade documents?  Fix file VDA is no longer accepted as new, contact your plant for exception.</t>
  </si>
  <si>
    <t>Email</t>
  </si>
  <si>
    <t>email adddress for contact</t>
  </si>
  <si>
    <t>Fax</t>
  </si>
  <si>
    <t>fax number for contact</t>
  </si>
  <si>
    <t xml:space="preserve">Inbound  </t>
  </si>
  <si>
    <t>Used for oFTP connections, identifed the inbound IP address</t>
  </si>
  <si>
    <t>Invitation Code</t>
  </si>
  <si>
    <t xml:space="preserve">Used for IWF, invetation code for requesting set up of suppler on web forms. </t>
  </si>
  <si>
    <t>Usually IP address on the network</t>
  </si>
  <si>
    <t>Odette code qualifier</t>
  </si>
  <si>
    <t>if using Odette, this is the trading partnership id qualifier</t>
  </si>
  <si>
    <t>Odette id</t>
  </si>
  <si>
    <t>if using Odette, this is the trading partnership id</t>
  </si>
  <si>
    <t>Odette routing address</t>
  </si>
  <si>
    <t>if using Odette, this is the routing number</t>
  </si>
  <si>
    <t xml:space="preserve">Outbound  </t>
  </si>
  <si>
    <t>Used for oFTP connections, identifed the outbound IP address</t>
  </si>
  <si>
    <t>Outbound Proxy</t>
  </si>
  <si>
    <t>Outbound IP address, so firewall can allow fro inbound data connection.</t>
  </si>
  <si>
    <t>Used for oFTP connections, identifed the password foe EDI connection</t>
  </si>
  <si>
    <t>Phone</t>
  </si>
  <si>
    <t>phone number fro contact</t>
  </si>
  <si>
    <t>PORT</t>
  </si>
  <si>
    <t>If AS2 connection has non standard port fro security reasons, please identify that port.</t>
  </si>
  <si>
    <t>Used for oFTP connections, identifed the ports which be used for the connection.</t>
  </si>
  <si>
    <t>Primary EDI contact for technical questions.</t>
  </si>
  <si>
    <t>Prod ISA/GS id</t>
  </si>
  <si>
    <t xml:space="preserve">Production interchange group id.  These are often the same, but if different please notify the plant. </t>
  </si>
  <si>
    <t>Production Qualifer</t>
  </si>
  <si>
    <t>Production interchange group id descriptor value.</t>
  </si>
  <si>
    <t>Start File identification, used for oFTP connections. This is a request for permission to send a file. It contains information such as the origin and destination of the file, its name and physical size.</t>
  </si>
  <si>
    <t>Start Session Id, used for oFTP connections. This is a request for initiate a session. It contains information such user and password of the requester.</t>
  </si>
  <si>
    <t>An intercompany relationship, this is the Adient plant which is considered the supplier.</t>
  </si>
  <si>
    <t>An intercompany relationship, this is the Adient plant number which is considered the supplier.</t>
  </si>
  <si>
    <t>Test ISA/GS id</t>
  </si>
  <si>
    <t xml:space="preserve">Interchange group id used for testing or exchanging test files.  These are often the same, but if different please notify the plant. </t>
  </si>
  <si>
    <t>Test Qualifer</t>
  </si>
  <si>
    <t>Test interchange group id descriptor value. This is general the same as production.</t>
  </si>
  <si>
    <t xml:space="preserve">The type of relationship with the trading partner, Supplier or Customer.  If Adient intercompany, then select intercompany.  </t>
  </si>
  <si>
    <t>UNB code qualifier</t>
  </si>
  <si>
    <t>if using EDIFACT, this is the trading partnership id qualifier</t>
  </si>
  <si>
    <t>UNB id</t>
  </si>
  <si>
    <t>if using EDIFACT, this is the trading partnership id</t>
  </si>
  <si>
    <t>UNB routing address</t>
  </si>
  <si>
    <t>if using EDIFACT, this is the routing adress</t>
  </si>
  <si>
    <t>URL</t>
  </si>
  <si>
    <t>Uniform Resource Locator, this is also known as web address</t>
  </si>
  <si>
    <t>Van</t>
  </si>
  <si>
    <t>Value Added Network</t>
  </si>
  <si>
    <t>Vendor # for Adient</t>
  </si>
  <si>
    <t>An Adient customer will refer to Adient by a vendor number, enter that value here.  Also known as, Vendor number on customer account.</t>
  </si>
  <si>
    <t xml:space="preserve">Active </t>
  </si>
  <si>
    <t>Plant ID</t>
  </si>
  <si>
    <t>OFTP SFID</t>
  </si>
  <si>
    <t>Old Plant</t>
  </si>
  <si>
    <t>CC</t>
  </si>
  <si>
    <t>DUNS</t>
  </si>
  <si>
    <t>ISA/GS id</t>
  </si>
  <si>
    <t>Region</t>
  </si>
  <si>
    <t>Odettte/ UNB Sender / Receiver</t>
  </si>
  <si>
    <t>UNB ID</t>
  </si>
  <si>
    <t>routing</t>
  </si>
  <si>
    <t>Version</t>
  </si>
  <si>
    <t>Contact</t>
  </si>
  <si>
    <t>In Directory</t>
  </si>
  <si>
    <t>Out Directory</t>
  </si>
  <si>
    <t>BIS MFG/ATP Out Directory</t>
  </si>
  <si>
    <t>JTDS out directory</t>
  </si>
  <si>
    <t>QSY out directory</t>
  </si>
  <si>
    <t>MFC out directory</t>
  </si>
  <si>
    <t>Database Name</t>
  </si>
  <si>
    <t>Acuna</t>
  </si>
  <si>
    <t>FD</t>
  </si>
  <si>
    <t>049534089</t>
  </si>
  <si>
    <t>NA</t>
  </si>
  <si>
    <t>004010</t>
  </si>
  <si>
    <t>Aguascalientes</t>
  </si>
  <si>
    <t>CM</t>
  </si>
  <si>
    <t>G2</t>
  </si>
  <si>
    <t>Alagon</t>
  </si>
  <si>
    <t>2162</t>
  </si>
  <si>
    <t>ES</t>
  </si>
  <si>
    <t>EU</t>
  </si>
  <si>
    <t>D96A</t>
  </si>
  <si>
    <t>/home/a736/xfer/167/central/in</t>
  </si>
  <si>
    <t>/var/eijftt/data/0167/out/home/a736/xfer/167/central/jftt/out</t>
  </si>
  <si>
    <t>/home/a736/xfer/167/central/out/</t>
  </si>
  <si>
    <t>Arendal</t>
  </si>
  <si>
    <t>2109</t>
  </si>
  <si>
    <t>SE</t>
  </si>
  <si>
    <t>/home/a691/xfer/0538/in</t>
  </si>
  <si>
    <t>/var/eijftt/data/0538/out/home/a691/xfer/a538/jftt/out</t>
  </si>
  <si>
    <t>/home/a691/xfer/a538/out/</t>
  </si>
  <si>
    <t>Assenede</t>
  </si>
  <si>
    <t>BE</t>
  </si>
  <si>
    <t>/home/a692/xfer/a667/in</t>
  </si>
  <si>
    <t>/var/eijftt/data/0715/out/home/a692/xfer/a667/jftt/out</t>
  </si>
  <si>
    <t>Athens</t>
  </si>
  <si>
    <t>1752</t>
  </si>
  <si>
    <t>088825039</t>
  </si>
  <si>
    <t/>
  </si>
  <si>
    <t>Avanzar</t>
  </si>
  <si>
    <t>0849</t>
  </si>
  <si>
    <t>DF</t>
  </si>
  <si>
    <t>171708485</t>
  </si>
  <si>
    <t>Battle Creek</t>
  </si>
  <si>
    <t>0872</t>
  </si>
  <si>
    <t>LM</t>
  </si>
  <si>
    <t>197511236</t>
  </si>
  <si>
    <t>Bierun</t>
  </si>
  <si>
    <t>2101</t>
  </si>
  <si>
    <t>PL</t>
  </si>
  <si>
    <t>/home/a703/xfer/in</t>
  </si>
  <si>
    <t>/var/eijftt/data/0647/out/home/a703/xfer/jftt/out</t>
  </si>
  <si>
    <t>SAP</t>
  </si>
  <si>
    <t>Bor Pilsen</t>
  </si>
  <si>
    <t>1769</t>
  </si>
  <si>
    <t>CZ</t>
  </si>
  <si>
    <t>Bridgewater Detroit</t>
  </si>
  <si>
    <t>0786</t>
  </si>
  <si>
    <t>AE</t>
  </si>
  <si>
    <t>013881706</t>
  </si>
  <si>
    <t>Bridgewater Lansing</t>
  </si>
  <si>
    <t>0788</t>
  </si>
  <si>
    <t>AI</t>
  </si>
  <si>
    <t>619350957</t>
  </si>
  <si>
    <t>788777592</t>
  </si>
  <si>
    <t>832351121</t>
  </si>
  <si>
    <t>Bridgewater Oxford</t>
  </si>
  <si>
    <t>0785</t>
  </si>
  <si>
    <t>EC</t>
  </si>
  <si>
    <t>137899949</t>
  </si>
  <si>
    <t>Bridgewater Warren</t>
  </si>
  <si>
    <t>0787</t>
  </si>
  <si>
    <t>CH</t>
  </si>
  <si>
    <t>129097247</t>
  </si>
  <si>
    <t>Brunswick Park, Speke</t>
  </si>
  <si>
    <t>0255</t>
  </si>
  <si>
    <t>UK</t>
  </si>
  <si>
    <t>/home/a255/xfer/2550/central/in</t>
  </si>
  <si>
    <t>/var/eijftt/data/0255/out/home/a255/xfer/2550/central/jftt/out/</t>
  </si>
  <si>
    <t>/home/a255/xfer/2550/central/out/</t>
  </si>
  <si>
    <t>Bursa</t>
  </si>
  <si>
    <t>0347</t>
  </si>
  <si>
    <t>TR</t>
  </si>
  <si>
    <t>/home/a795/xfer/0347/out/</t>
  </si>
  <si>
    <t>/sdata/files/xfer/bis/out/</t>
  </si>
  <si>
    <t>Burton</t>
  </si>
  <si>
    <t>0118</t>
  </si>
  <si>
    <t>/home/a668/xfer/a118/central/in</t>
  </si>
  <si>
    <t>/var/eijftt/data/0118/out/home/a668/xfer/a118/central/jftt/out</t>
  </si>
  <si>
    <t>/home/a668/xfer/a118/central/out/</t>
  </si>
  <si>
    <t>/sdata/files/outbox_central/</t>
  </si>
  <si>
    <t>Queue</t>
  </si>
  <si>
    <t>Charlotte</t>
  </si>
  <si>
    <t>FC</t>
  </si>
  <si>
    <t>Clanton</t>
  </si>
  <si>
    <t>1351</t>
  </si>
  <si>
    <t>125658950</t>
  </si>
  <si>
    <t>Columbia</t>
  </si>
  <si>
    <t>1872</t>
  </si>
  <si>
    <t>CN</t>
  </si>
  <si>
    <t>081274868</t>
  </si>
  <si>
    <t>/ecg/in/aamer04p/1872</t>
  </si>
  <si>
    <t>/ee16/aamer04p/1872/mfgdb/dataout/bo</t>
  </si>
  <si>
    <t>aamer04p</t>
  </si>
  <si>
    <t>Confortseat / Lerma</t>
  </si>
  <si>
    <t>0090</t>
  </si>
  <si>
    <t>SG</t>
  </si>
  <si>
    <t>193593142</t>
  </si>
  <si>
    <t>588186044</t>
  </si>
  <si>
    <t>Cottondale</t>
  </si>
  <si>
    <t>1226</t>
  </si>
  <si>
    <t>BF</t>
  </si>
  <si>
    <t>933855322</t>
  </si>
  <si>
    <t>Craiova</t>
  </si>
  <si>
    <t>2185</t>
  </si>
  <si>
    <t>RO</t>
  </si>
  <si>
    <t>/home/a6961/xfer/0862/in</t>
  </si>
  <si>
    <t>/var/eijftt/data/0862/out/home/a6961/xfer/0862/jftt/out</t>
  </si>
  <si>
    <t>/home/a6961/xfer/0862/out/</t>
  </si>
  <si>
    <t>Curitiba Trim Michel Thierry</t>
  </si>
  <si>
    <t>13181</t>
  </si>
  <si>
    <t>XI</t>
  </si>
  <si>
    <t>13181-JCIEDI</t>
  </si>
  <si>
    <t>SA</t>
  </si>
  <si>
    <t>003020</t>
  </si>
  <si>
    <t>Curtiba Seating</t>
  </si>
  <si>
    <t>46911</t>
  </si>
  <si>
    <t>XM</t>
  </si>
  <si>
    <t>46911-JCIEDI</t>
  </si>
  <si>
    <t>Derramadero</t>
  </si>
  <si>
    <t>0056</t>
  </si>
  <si>
    <t>BL</t>
  </si>
  <si>
    <t>812836914</t>
  </si>
  <si>
    <t>ZA</t>
  </si>
  <si>
    <t>/home/a608/xfer/0646/in</t>
  </si>
  <si>
    <t>/var/eijftt/data/0646/out/home/a608/xfer/0646/jftt/out</t>
  </si>
  <si>
    <t>/home/a608/xfer/0646/out/</t>
  </si>
  <si>
    <t>/home/a646/xfer/central/out/</t>
  </si>
  <si>
    <t>Ediasa 1</t>
  </si>
  <si>
    <t>0278</t>
  </si>
  <si>
    <t>OA</t>
  </si>
  <si>
    <t>879900306</t>
  </si>
  <si>
    <t>Ediasa 3</t>
  </si>
  <si>
    <t>0436</t>
  </si>
  <si>
    <t>OC</t>
  </si>
  <si>
    <t>812480564</t>
  </si>
  <si>
    <t>Ediasa 4</t>
  </si>
  <si>
    <t>0438</t>
  </si>
  <si>
    <t>OD</t>
  </si>
  <si>
    <t>812480572</t>
  </si>
  <si>
    <t>Ediasa 6</t>
  </si>
  <si>
    <t>0760</t>
  </si>
  <si>
    <t>OL</t>
  </si>
  <si>
    <t>812654093</t>
  </si>
  <si>
    <t>Eldon</t>
  </si>
  <si>
    <t>1463</t>
  </si>
  <si>
    <t>933841074</t>
  </si>
  <si>
    <t>Eurosit, Barcelona</t>
  </si>
  <si>
    <t>/home/a724/xfer/1030/in</t>
  </si>
  <si>
    <t>/var/eijftt/data/0112/out/home/a724/xfer/a103/jftt/out</t>
  </si>
  <si>
    <t>/home/a724/xfer/1030/out</t>
  </si>
  <si>
    <t>GeorgetownFoamec</t>
  </si>
  <si>
    <t>0204</t>
  </si>
  <si>
    <t>MC</t>
  </si>
  <si>
    <t>801902289</t>
  </si>
  <si>
    <t>Gravatai Foam</t>
  </si>
  <si>
    <t>18711</t>
  </si>
  <si>
    <t>XQ</t>
  </si>
  <si>
    <t>18711-JCIEDI</t>
  </si>
  <si>
    <t>Gravatai Seating</t>
  </si>
  <si>
    <t>18701</t>
  </si>
  <si>
    <t>XP</t>
  </si>
  <si>
    <t>18701-JCIEDI</t>
  </si>
  <si>
    <t>Graviati</t>
  </si>
  <si>
    <t>0728</t>
  </si>
  <si>
    <t>BR</t>
  </si>
  <si>
    <t>Greenfield</t>
  </si>
  <si>
    <t>0016</t>
  </si>
  <si>
    <t>MA</t>
  </si>
  <si>
    <t>006556849</t>
  </si>
  <si>
    <t>GT Metals</t>
  </si>
  <si>
    <t>2694</t>
  </si>
  <si>
    <t>AB</t>
  </si>
  <si>
    <t>951562740</t>
  </si>
  <si>
    <t xml:space="preserve">Guanajuato </t>
  </si>
  <si>
    <t>2566</t>
  </si>
  <si>
    <t>ON</t>
  </si>
  <si>
    <t>812888077</t>
  </si>
  <si>
    <t>DE</t>
  </si>
  <si>
    <t>Hilchenbach</t>
  </si>
  <si>
    <t>0867</t>
  </si>
  <si>
    <t>/home/a636/xfer/in</t>
  </si>
  <si>
    <t>/var/eijftt/data/0342/out/home/a636/xfer/central/jftt/out</t>
  </si>
  <si>
    <t>Jimbolia</t>
  </si>
  <si>
    <t>2202</t>
  </si>
  <si>
    <t>681977158</t>
  </si>
  <si>
    <t>Andrei Bonce</t>
  </si>
  <si>
    <t>andrei.1.bonce@adient.com</t>
  </si>
  <si>
    <t>+40372376205</t>
  </si>
  <si>
    <t>Kansas City Riverside</t>
  </si>
  <si>
    <t>1339</t>
  </si>
  <si>
    <t>AK</t>
  </si>
  <si>
    <t>962809369</t>
  </si>
  <si>
    <t>Kecskemet</t>
  </si>
  <si>
    <t>1198</t>
  </si>
  <si>
    <t>HU</t>
  </si>
  <si>
    <t>/home/a7327/xfer/a1198/in</t>
  </si>
  <si>
    <t>/var/eijftt/data/1198/out/home/a7327/xfer/a1198/jftt/out/</t>
  </si>
  <si>
    <t>/home/a7327/xfer/a1198/out/</t>
  </si>
  <si>
    <t>/sdata/files/outbox/</t>
  </si>
  <si>
    <t>Kenitra Fabrics</t>
  </si>
  <si>
    <t>2572</t>
  </si>
  <si>
    <t>0187</t>
  </si>
  <si>
    <t>/home/a187/xfer/a2572/in</t>
  </si>
  <si>
    <t>/var/eijftt/data/2572/out/home/a187/xfer/a2572/jftt/out/</t>
  </si>
  <si>
    <t>/home/a187/xfer/a2572/out</t>
  </si>
  <si>
    <t>Kenitra Trim</t>
  </si>
  <si>
    <t xml:space="preserve">/global/ee16/2710/in </t>
  </si>
  <si>
    <t xml:space="preserve">/global/ee16/2710/out </t>
  </si>
  <si>
    <t xml:space="preserve">/global/ee16/2710/bisout </t>
  </si>
  <si>
    <t>aemea62p</t>
  </si>
  <si>
    <t>Kragujevac (Interiors)</t>
  </si>
  <si>
    <t>1421</t>
  </si>
  <si>
    <t>SRB</t>
  </si>
  <si>
    <t>/home/a7930/xfer/a1421/in</t>
  </si>
  <si>
    <t>/var/eijftt/data/1421/out/home/a7930/xfer/a1421/jftt/out/</t>
  </si>
  <si>
    <t>/home/a7930/xfer/a1421/out/</t>
  </si>
  <si>
    <t>Kragujevac Seating</t>
  </si>
  <si>
    <t>1420</t>
  </si>
  <si>
    <t>/home/a7814/xfer/a1420/in</t>
  </si>
  <si>
    <t>/var/eijftt/data/1420/out/home/a7814/xfer/a1420/jftt/out/</t>
  </si>
  <si>
    <t>/home/a7814/xfer/a1420/out/</t>
  </si>
  <si>
    <t>Kvasiny</t>
  </si>
  <si>
    <t>2100</t>
  </si>
  <si>
    <t>/home/a1333/xfer/a2100/in</t>
  </si>
  <si>
    <t xml:space="preserve">/var/eijftt/data/2100/out/home/a1333/xfer/a2100/jftt/out/ </t>
  </si>
  <si>
    <t>Lakewood Metals</t>
  </si>
  <si>
    <t>0919</t>
  </si>
  <si>
    <t>PB</t>
  </si>
  <si>
    <t>603205514</t>
  </si>
  <si>
    <t>Lexington</t>
  </si>
  <si>
    <t>1754</t>
  </si>
  <si>
    <t xml:space="preserve">007018955 </t>
  </si>
  <si>
    <t>Liverpool Halewood</t>
  </si>
  <si>
    <t>0583</t>
  </si>
  <si>
    <t>/home/a2502/xfer/0583/in</t>
  </si>
  <si>
    <t>/var/eijftt/data/0583/out/home/a2502/xfer/0583/jftt/out</t>
  </si>
  <si>
    <t>/sdata/files/raw/edm/</t>
  </si>
  <si>
    <t>/home/a583/xfer/5830/central/out/</t>
  </si>
  <si>
    <t>Loznica</t>
  </si>
  <si>
    <t>RS</t>
  </si>
  <si>
    <t>/global/ee16/2674/in</t>
  </si>
  <si>
    <t>/global/ee16/2674/out</t>
  </si>
  <si>
    <t>/global/ee16/2674/bisout</t>
  </si>
  <si>
    <t>Loznica Foam</t>
  </si>
  <si>
    <t>/global/ee16/2798/in</t>
  </si>
  <si>
    <t>/global/ee16/2798/out</t>
  </si>
  <si>
    <t>/global/ee16/2798/bisout</t>
  </si>
  <si>
    <t>Lucenec</t>
  </si>
  <si>
    <t>2171</t>
  </si>
  <si>
    <t>SK</t>
  </si>
  <si>
    <t>/home/a798/xfer/a891/in</t>
  </si>
  <si>
    <t>/var/eijftt/data/0891/out/home/a798/xfer/a891/jftt/out</t>
  </si>
  <si>
    <t>/home/a798/xfer/a891/out/</t>
  </si>
  <si>
    <t>Lucenec Metal</t>
  </si>
  <si>
    <t xml:space="preserve">/global/ee16/1525/in </t>
  </si>
  <si>
    <t>/global/ee16/1525/out</t>
  </si>
  <si>
    <t>Madison Heights</t>
  </si>
  <si>
    <t>FB</t>
  </si>
  <si>
    <t>Mandling</t>
  </si>
  <si>
    <t>2106</t>
  </si>
  <si>
    <t>AT</t>
  </si>
  <si>
    <t>/home/a644/xfer/1440/in</t>
  </si>
  <si>
    <t>/var/eijftt/data/0144/out/home/a644/xfer/1440/jftt/out</t>
  </si>
  <si>
    <t>/home/a644/xfer/1440/out/</t>
  </si>
  <si>
    <t>Matamoros</t>
  </si>
  <si>
    <t>1352</t>
  </si>
  <si>
    <t>812976686</t>
  </si>
  <si>
    <t>Meerane</t>
  </si>
  <si>
    <t>2132</t>
  </si>
  <si>
    <t>/home/a622/xfer/1130/in</t>
  </si>
  <si>
    <t>/var/eijftt/data/0113/out/home/a622/xfer/1130/jftt/out/</t>
  </si>
  <si>
    <t>/home/a622/xfer/1130/out/</t>
  </si>
  <si>
    <t>/home/xfer/1130/central/out/</t>
  </si>
  <si>
    <t>Mezolak</t>
  </si>
  <si>
    <t>1050</t>
  </si>
  <si>
    <t>/home/a2583/xfer/a1050/in</t>
  </si>
  <si>
    <t>/var/eijftt/data/1050/out/home/a2583/xfer/a1050/jftt/out/</t>
  </si>
  <si>
    <t>/home/a2583/xfer/a1050/out/</t>
  </si>
  <si>
    <t>Mississauga USA</t>
  </si>
  <si>
    <t>0133</t>
  </si>
  <si>
    <t>LH</t>
  </si>
  <si>
    <t>206986049</t>
  </si>
  <si>
    <t>Mlada Boleslav</t>
  </si>
  <si>
    <t>0275</t>
  </si>
  <si>
    <t>/home/a733/xfer/0275/in</t>
  </si>
  <si>
    <t>/var/eijftt/data/0275/out/home/a733/xfer/0275/jftt/out/</t>
  </si>
  <si>
    <t>/sdata/files/porsche/tsl/out/</t>
  </si>
  <si>
    <t>/home/a733/xfer/0275/out/</t>
  </si>
  <si>
    <t>Monclova</t>
  </si>
  <si>
    <t>0664</t>
  </si>
  <si>
    <t>OJ</t>
  </si>
  <si>
    <t>812549975</t>
  </si>
  <si>
    <t>2133</t>
  </si>
  <si>
    <t>364743096</t>
  </si>
  <si>
    <t>Nicole Takács</t>
  </si>
  <si>
    <t xml:space="preserve"> nicole.takacs@adient.com</t>
  </si>
  <si>
    <t>Murfreesboro</t>
  </si>
  <si>
    <t>0117</t>
  </si>
  <si>
    <t>QA</t>
  </si>
  <si>
    <t>066384041</t>
  </si>
  <si>
    <t>Normal</t>
  </si>
  <si>
    <t>2850</t>
  </si>
  <si>
    <t>119533879</t>
  </si>
  <si>
    <t>Northwood</t>
  </si>
  <si>
    <t>0607</t>
  </si>
  <si>
    <t>LX</t>
  </si>
  <si>
    <t>132357349</t>
  </si>
  <si>
    <t>Novo Mesto</t>
  </si>
  <si>
    <t>0338</t>
  </si>
  <si>
    <t>SL</t>
  </si>
  <si>
    <t>/home/a686/xfer/0338/in</t>
  </si>
  <si>
    <t>/var/eijftt/data/0338/out/home/a686/xfer/0338/jftt/out</t>
  </si>
  <si>
    <t>/home/a686/xfer/0338/out/</t>
  </si>
  <si>
    <t>Pitesti Trim</t>
  </si>
  <si>
    <t xml:space="preserve">/global/ee16/2184/in </t>
  </si>
  <si>
    <t xml:space="preserve">/global/ee16/2184/out </t>
  </si>
  <si>
    <t xml:space="preserve">/global/ee16/2184/bisout </t>
  </si>
  <si>
    <t>Ploiesti TRIM</t>
  </si>
  <si>
    <t xml:space="preserve">/global/ee16/2358/in </t>
  </si>
  <si>
    <t xml:space="preserve">/global/ee16/2358/out </t>
  </si>
  <si>
    <t xml:space="preserve">/global/ee16/2358/bisout </t>
  </si>
  <si>
    <t>aemea09p</t>
  </si>
  <si>
    <t>Poiana Lacului</t>
  </si>
  <si>
    <t>2189</t>
  </si>
  <si>
    <t>/home/a8182/xfer/a1485/out/</t>
  </si>
  <si>
    <t>Pouso Alegre Foam</t>
  </si>
  <si>
    <t>14421</t>
  </si>
  <si>
    <t>XB</t>
  </si>
  <si>
    <t>14421-JCIEDI</t>
  </si>
  <si>
    <t>Pouso Alegre Trim</t>
  </si>
  <si>
    <t>44111</t>
  </si>
  <si>
    <t>XA</t>
  </si>
  <si>
    <t>44111-JCIEDI</t>
  </si>
  <si>
    <t>Pretoria  JIT</t>
  </si>
  <si>
    <t>0325</t>
  </si>
  <si>
    <t>/home/a740/xfer/0325/in</t>
  </si>
  <si>
    <t>/var/eijftt/data/0325/out/home/a740/xfer/a325/jftt/out</t>
  </si>
  <si>
    <t>/home/a740/xfer/a325/out/</t>
  </si>
  <si>
    <t>Pretoria Foam</t>
  </si>
  <si>
    <t>2832</t>
  </si>
  <si>
    <t xml:space="preserve">/global/ee19/2832/in </t>
  </si>
  <si>
    <t xml:space="preserve">/global/ee19/2832/out </t>
  </si>
  <si>
    <t xml:space="preserve">/global/ee19/2832/bisout </t>
  </si>
  <si>
    <t>Princeton</t>
  </si>
  <si>
    <t>0881</t>
  </si>
  <si>
    <t>LU</t>
  </si>
  <si>
    <t>116092860</t>
  </si>
  <si>
    <t>Puebla</t>
  </si>
  <si>
    <t>0477</t>
  </si>
  <si>
    <t>SI</t>
  </si>
  <si>
    <t>812678413</t>
  </si>
  <si>
    <t>Puebla Interiors</t>
  </si>
  <si>
    <t>0503</t>
  </si>
  <si>
    <t>811645373</t>
  </si>
  <si>
    <t>Pulaski</t>
  </si>
  <si>
    <t>0115</t>
  </si>
  <si>
    <t>MF</t>
  </si>
  <si>
    <t>602890840</t>
  </si>
  <si>
    <t>Queretaro Foam</t>
  </si>
  <si>
    <t>1721</t>
  </si>
  <si>
    <t>QN</t>
  </si>
  <si>
    <t>812771658</t>
  </si>
  <si>
    <t>Ramos Arizpe</t>
  </si>
  <si>
    <t>0135</t>
  </si>
  <si>
    <t>NG</t>
  </si>
  <si>
    <t>812836948</t>
  </si>
  <si>
    <t>Ramos Press</t>
  </si>
  <si>
    <t>O0013007096JCIGXS 2551</t>
  </si>
  <si>
    <t>DM</t>
  </si>
  <si>
    <t>Rastatt Seating</t>
  </si>
  <si>
    <t>2361</t>
  </si>
  <si>
    <t>/home/a690/xfer/a165/in</t>
  </si>
  <si>
    <t>/var/eijftt/data/0165/out/home/a690/xfer/a165/jftt/out</t>
  </si>
  <si>
    <t>/home/a690/xfer/a165/out/</t>
  </si>
  <si>
    <t>Rockenhausen</t>
  </si>
  <si>
    <t>1449</t>
  </si>
  <si>
    <t>Rosario Seating</t>
  </si>
  <si>
    <t>4601</t>
  </si>
  <si>
    <t>XE</t>
  </si>
  <si>
    <t>4601-JCIEDI</t>
  </si>
  <si>
    <t>Rosario Trim</t>
  </si>
  <si>
    <t>8000</t>
  </si>
  <si>
    <t>XF</t>
  </si>
  <si>
    <t>8000-JCIEDI</t>
  </si>
  <si>
    <t>Roudnice</t>
  </si>
  <si>
    <t>2352</t>
  </si>
  <si>
    <t>/home/a734/xfer/0289/in</t>
  </si>
  <si>
    <t>/var/eijftt/data/0289/out/home/a734/xfer/a289/jftt/out/</t>
  </si>
  <si>
    <t>/home/a734/xfer/a289/out/</t>
  </si>
  <si>
    <t>/home/xfer/289/central/out/</t>
  </si>
  <si>
    <t>Rychnov</t>
  </si>
  <si>
    <t>0405</t>
  </si>
  <si>
    <t>Saarlouis</t>
  </si>
  <si>
    <t>2301</t>
  </si>
  <si>
    <t>0253</t>
  </si>
  <si>
    <t>/home/a678/xfer/2530/central/in</t>
  </si>
  <si>
    <t>/var/eijftt/data/0253/out/home/a678/xfer/2530/central/jftt/out/</t>
  </si>
  <si>
    <t>/home/a678/xfer/2530/central/out/</t>
  </si>
  <si>
    <t>Saarlouis Smart/Stellantis</t>
  </si>
  <si>
    <t>2302</t>
  </si>
  <si>
    <t>Saltillo</t>
  </si>
  <si>
    <t>0472</t>
  </si>
  <si>
    <t>OK</t>
  </si>
  <si>
    <t>812502789</t>
  </si>
  <si>
    <t>SaltilloFoam</t>
  </si>
  <si>
    <t>0586</t>
  </si>
  <si>
    <t>MK</t>
  </si>
  <si>
    <t>812524846</t>
  </si>
  <si>
    <t>San Antonio</t>
  </si>
  <si>
    <t>0848</t>
  </si>
  <si>
    <t>615380982</t>
  </si>
  <si>
    <t>Sao Bernardo Foam</t>
  </si>
  <si>
    <t>42311</t>
  </si>
  <si>
    <t>XK</t>
  </si>
  <si>
    <t>42311-JCIEDI</t>
  </si>
  <si>
    <t>Sao Bernardo Interiors</t>
  </si>
  <si>
    <t>86421</t>
  </si>
  <si>
    <t>XJ</t>
  </si>
  <si>
    <t>86421-JCIEDI</t>
  </si>
  <si>
    <t>Sao Bernardo Seating</t>
  </si>
  <si>
    <t>29711</t>
  </si>
  <si>
    <t>XC</t>
  </si>
  <si>
    <t>29711-JCIEDI</t>
  </si>
  <si>
    <t>Sao Bernardo Trading</t>
  </si>
  <si>
    <t>16201</t>
  </si>
  <si>
    <t>XL</t>
  </si>
  <si>
    <t>16201-JCIEDI</t>
  </si>
  <si>
    <t>Setex</t>
  </si>
  <si>
    <t>0095</t>
  </si>
  <si>
    <t>EA</t>
  </si>
  <si>
    <t>187301924</t>
  </si>
  <si>
    <t>Siemianowice</t>
  </si>
  <si>
    <t>0943</t>
  </si>
  <si>
    <t>/home/a2516/xfer/0943/in</t>
  </si>
  <si>
    <t>/var/eijftt/data/0943/out/home/a2516/xfer/0943/jftt/out/</t>
  </si>
  <si>
    <t>/home/a2516/xfer/0943/out/</t>
  </si>
  <si>
    <t>Skarbimierz CV</t>
  </si>
  <si>
    <t>1501</t>
  </si>
  <si>
    <t>422267992</t>
  </si>
  <si>
    <t xml:space="preserve">/global/ee19/1501/in </t>
  </si>
  <si>
    <t>/global/ee19/1501/Out</t>
  </si>
  <si>
    <t>/global/ee19/1501/bisout</t>
  </si>
  <si>
    <t>Skarbimierz Metal</t>
  </si>
  <si>
    <t>1502</t>
  </si>
  <si>
    <t>Solingen Metal Forming Technologies</t>
  </si>
  <si>
    <t>2153</t>
  </si>
  <si>
    <t>329421726</t>
  </si>
  <si>
    <t>Stafford Park</t>
  </si>
  <si>
    <t>0265</t>
  </si>
  <si>
    <t>/home/a693/xfer/2650/in</t>
  </si>
  <si>
    <t>/var/eijftt/data/0265/out/home/a693/xfer/2650/jftt/out/</t>
  </si>
  <si>
    <t>/home/a693/xfer/2650/out/</t>
  </si>
  <si>
    <t>STIP Macadonia</t>
  </si>
  <si>
    <t>2354</t>
  </si>
  <si>
    <t>/home/a8283/xfer/a1515/in</t>
  </si>
  <si>
    <t>/var/eijftt/data/1515/out/home/a8283/xfer/a1515/jftt/out</t>
  </si>
  <si>
    <t>/home/a8283/xfer/a1515/out/</t>
  </si>
  <si>
    <t>Strasbourg</t>
  </si>
  <si>
    <t>0341</t>
  </si>
  <si>
    <t>FR</t>
  </si>
  <si>
    <t>/home/a757/xfer/3410/in</t>
  </si>
  <si>
    <t>/var/eijftt/data/0341/out/home/a757/xfer/jftt/out</t>
  </si>
  <si>
    <t>/home/a757/xfer/3410/out/</t>
  </si>
  <si>
    <t>Straz pod Ralskem</t>
  </si>
  <si>
    <t>2351</t>
  </si>
  <si>
    <t>/home/a735/xfer/0243/in</t>
  </si>
  <si>
    <t>/var/eijftt/data/0243/out/home/a735/xfer/0243/jftt/out</t>
  </si>
  <si>
    <t>/home/a735/xfer/0243/out/</t>
  </si>
  <si>
    <t>Strumica</t>
  </si>
  <si>
    <t>2359</t>
  </si>
  <si>
    <t>/home/a1659/xfer/a2130/in</t>
  </si>
  <si>
    <t xml:space="preserve">/var/eijftt/data/2130/out/home/a1659/xfer/a2130/jftt/out </t>
  </si>
  <si>
    <t>/home/a1659/xfer/a2130/out</t>
  </si>
  <si>
    <t>Sunderland</t>
  </si>
  <si>
    <t>0685</t>
  </si>
  <si>
    <t>/home/a712/xfer/0685/out/</t>
  </si>
  <si>
    <t>Swiebodzin</t>
  </si>
  <si>
    <t>1503</t>
  </si>
  <si>
    <t>422378971</t>
  </si>
  <si>
    <t>Sycamore</t>
  </si>
  <si>
    <t>0039</t>
  </si>
  <si>
    <t>151792058</t>
  </si>
  <si>
    <t>Tifflet</t>
  </si>
  <si>
    <t>2838</t>
  </si>
  <si>
    <t>MO</t>
  </si>
  <si>
    <t>Tillsonburg</t>
  </si>
  <si>
    <t>0013</t>
  </si>
  <si>
    <t>ME</t>
  </si>
  <si>
    <t>205365505</t>
  </si>
  <si>
    <t>Tlaxcala</t>
  </si>
  <si>
    <t>0356</t>
  </si>
  <si>
    <t>SH</t>
  </si>
  <si>
    <t>812737286</t>
  </si>
  <si>
    <t>Uitenhage  JIT</t>
  </si>
  <si>
    <t>0290</t>
  </si>
  <si>
    <t>Uitenhage Trim</t>
  </si>
  <si>
    <t>0326</t>
  </si>
  <si>
    <t>/home/a741/xfer/0326/in</t>
  </si>
  <si>
    <t>/var/eijftt/data/0326/out/home/a741/xfer/0326/jftt/out</t>
  </si>
  <si>
    <t>/home/a326/xfer/central/out/</t>
  </si>
  <si>
    <t>Valladolid</t>
  </si>
  <si>
    <t>2158</t>
  </si>
  <si>
    <t>/home/a738/xfer/3370/in</t>
  </si>
  <si>
    <t>/var/eijftt/data/0337/out/home/a738/xfer/3370/jftt/out</t>
  </si>
  <si>
    <t>/home/a738/xfer/3370/out/</t>
  </si>
  <si>
    <t>VC Lear DS</t>
  </si>
  <si>
    <t>/home/a7142/xfer/a2571/in</t>
  </si>
  <si>
    <t>/var/eijftt/data/2571/out/home/a7142/xfer/a2571/jftt/out</t>
  </si>
  <si>
    <t>/home/a7142/xfer/a2571/out</t>
  </si>
  <si>
    <t>Wednesbury</t>
  </si>
  <si>
    <t>0246</t>
  </si>
  <si>
    <t>/home/a658/xfer/a246/central/in</t>
  </si>
  <si>
    <t>/var/eijftt/data/0246/out/home/a658/xfer/a246/central/jftt/out</t>
  </si>
  <si>
    <t>/home/a658/xfer/a246/central/out/</t>
  </si>
  <si>
    <t>West Point</t>
  </si>
  <si>
    <t>0043</t>
  </si>
  <si>
    <t>RZ</t>
  </si>
  <si>
    <t>828569108</t>
  </si>
  <si>
    <t>Winchester</t>
  </si>
  <si>
    <t>0335</t>
  </si>
  <si>
    <t>BH</t>
  </si>
  <si>
    <t>008039278</t>
  </si>
  <si>
    <t>/ecg/in/</t>
  </si>
  <si>
    <t>EI</t>
  </si>
  <si>
    <t>MQ</t>
  </si>
  <si>
    <t>DB</t>
  </si>
  <si>
    <t>YF - Avanzar Interior Products Mexico</t>
  </si>
  <si>
    <t>2711</t>
  </si>
  <si>
    <t>JK</t>
  </si>
  <si>
    <t>951565085</t>
  </si>
  <si>
    <t>YF East London</t>
  </si>
  <si>
    <t>1922</t>
  </si>
  <si>
    <t>YFAvanzar</t>
  </si>
  <si>
    <t>1953</t>
  </si>
  <si>
    <t>JA</t>
  </si>
  <si>
    <t>079732040</t>
  </si>
  <si>
    <t>Zaragoza</t>
  </si>
  <si>
    <t>2173</t>
  </si>
  <si>
    <t>/home/a791/xfer/0644/central/in</t>
  </si>
  <si>
    <t>/var/eijftt/data/0644/out/home/a791/xfer/a644/jftt/out</t>
  </si>
  <si>
    <t>/home/a791/xfer/0644/central/out/</t>
  </si>
  <si>
    <t>Zaragoza Foam</t>
  </si>
  <si>
    <t>2493</t>
  </si>
  <si>
    <t>/home/a1819/xfer/a2493/in</t>
  </si>
  <si>
    <t>/var/eijftt/data/2493/out/home/a1819/xfer/a2493/jftt/out</t>
  </si>
  <si>
    <t>/home/a1819/xfer/a2493/out</t>
  </si>
  <si>
    <t>/sdata/files/xfer/grupo/out/</t>
  </si>
  <si>
    <t>Zilina Interiors</t>
  </si>
  <si>
    <t>/home/a2505/xfer/a875/in</t>
  </si>
  <si>
    <t>/var/eijftt/data/0875/out/home/a2505/xfer/a875/jftt/out</t>
  </si>
  <si>
    <t>Zilina JIT</t>
  </si>
  <si>
    <t>2165</t>
  </si>
  <si>
    <t>Zory</t>
  </si>
  <si>
    <t>1051</t>
  </si>
  <si>
    <t>/home/a2582/xfer/a10511/in</t>
  </si>
  <si>
    <t>/var/eijftt/data/1051/out/home/a2582/xfer/a10511/jftt/out</t>
  </si>
  <si>
    <t>/home/a2582/xfer/a10511/out/</t>
  </si>
  <si>
    <t>Task</t>
  </si>
  <si>
    <t>Responsible</t>
  </si>
  <si>
    <t>Date</t>
  </si>
  <si>
    <t>Description</t>
  </si>
  <si>
    <t>Document completed</t>
  </si>
  <si>
    <t>O0013007096JCIGXS 1313</t>
  </si>
  <si>
    <t>EDI form filled out completely</t>
  </si>
  <si>
    <t>Questionnaire reviewed</t>
  </si>
  <si>
    <t>O0013007096JCIGXS 0167</t>
  </si>
  <si>
    <t>Verified form completed and accurate</t>
  </si>
  <si>
    <t>Review Master Starter</t>
  </si>
  <si>
    <t>O0013007096JCIGXS 0538</t>
  </si>
  <si>
    <t>Review Master Starter tab, confrim data is accurate</t>
  </si>
  <si>
    <t>Create Teambook request</t>
  </si>
  <si>
    <t>O0013007096JCIGXS 1028</t>
  </si>
  <si>
    <t>Create draft of Teambook</t>
  </si>
  <si>
    <t>Add to demand tracking</t>
  </si>
  <si>
    <t>O0013007096JCIGXS 0667</t>
  </si>
  <si>
    <t>Add entry to demand, include Teambook number</t>
  </si>
  <si>
    <t>Submit Teambook request</t>
  </si>
  <si>
    <t>O0013007096JCIGXS 1752</t>
  </si>
  <si>
    <t>Submit teambook request</t>
  </si>
  <si>
    <t>MFGPro 35.13.7</t>
  </si>
  <si>
    <t>O0013007096JCIGXS 1465</t>
  </si>
  <si>
    <t>MFGPro 35.13.10</t>
  </si>
  <si>
    <t>O0013007096JCIGXS 0849</t>
  </si>
  <si>
    <t>O0013007096JCIGXS 0872</t>
  </si>
  <si>
    <t>Create PCA</t>
  </si>
  <si>
    <t>O0013007096JCIGXS 0647</t>
  </si>
  <si>
    <t>Send test file</t>
  </si>
  <si>
    <t>O0013007096JCIGXS 1769</t>
  </si>
  <si>
    <t>verify test file received</t>
  </si>
  <si>
    <t>O0013007096JCIGXS 0464</t>
  </si>
  <si>
    <t>request test file</t>
  </si>
  <si>
    <t>O0013007096JCIGXS 0480</t>
  </si>
  <si>
    <t>verify test file for accuracy</t>
  </si>
  <si>
    <t>O0013007096JCIGXS 0786</t>
  </si>
  <si>
    <t>O0013007096JCIGXS 0788</t>
  </si>
  <si>
    <t>O0013007096JCIGXS 0785</t>
  </si>
  <si>
    <t>O0013007096JCIGXS 0787</t>
  </si>
  <si>
    <t>O0013007096JCIGXS 0255</t>
  </si>
  <si>
    <t>O0013007096JCIGXS 0347</t>
  </si>
  <si>
    <t>O0013007096JCIGXS 0118</t>
  </si>
  <si>
    <t>O0013007096JCIGXS 1432</t>
  </si>
  <si>
    <t>O0013007096JCIGXS 1351</t>
  </si>
  <si>
    <t>O0013007096JCIGXS 1911</t>
  </si>
  <si>
    <t>O0013007096JCIGXS 1199</t>
  </si>
  <si>
    <t>O0013007096JCIGXS 0090</t>
  </si>
  <si>
    <t>O0013007096JCIGXS 8500</t>
  </si>
  <si>
    <t>O0013007096JCIGXS 8501</t>
  </si>
  <si>
    <t>O0013007096JCIGXS 1226</t>
  </si>
  <si>
    <t>O0013007096JCIGXS 0862</t>
  </si>
  <si>
    <t>O0013007096JCIGXS 1318</t>
  </si>
  <si>
    <t>O0013007096JCIGXS 13181</t>
  </si>
  <si>
    <t>O0013007096JCIGXS 1320</t>
  </si>
  <si>
    <t>O0013007096JCIGXS 13201</t>
  </si>
  <si>
    <t>O0013007096JCIGXS 0469</t>
  </si>
  <si>
    <t>O0013007096JCIGXS 46911</t>
  </si>
  <si>
    <t>O0013007096JCIGXS 0056</t>
  </si>
  <si>
    <t>O0013007096JCIGXS CGEU</t>
  </si>
  <si>
    <t>O0013007096JCIGXS 1922</t>
  </si>
  <si>
    <t>O0013007096JCIGXS 0278</t>
  </si>
  <si>
    <t>O0013007096JCIGXS 0436</t>
  </si>
  <si>
    <t>O0013007096JCIGXS 0438</t>
  </si>
  <si>
    <t>O0013007096JCIGXS 0760</t>
  </si>
  <si>
    <t>O0013007096JCIGXS 1463</t>
  </si>
  <si>
    <t>O0013007096JCIGXS 0099</t>
  </si>
  <si>
    <t>O0013007096JCIGXS 0452</t>
  </si>
  <si>
    <t>O0013007096JCIGXS 0176</t>
  </si>
  <si>
    <t>O0013007096JCIGXS 0697</t>
  </si>
  <si>
    <t>O0013007096JCIGXS 0103</t>
  </si>
  <si>
    <t>O0013007096JCIGXS 1000</t>
  </si>
  <si>
    <t>O0013007096JCIGXS 1361</t>
  </si>
  <si>
    <t>O0013007096JCIGXS 0930</t>
  </si>
  <si>
    <t>O0013007096JCIGXS 0555</t>
  </si>
  <si>
    <t>O0013007096JCIGXS 0204</t>
  </si>
  <si>
    <t>O0013007096JCIGXS 1903</t>
  </si>
  <si>
    <t>O0013007096JCIGXS 72811</t>
  </si>
  <si>
    <t>O0013007096JCIGXS 1871</t>
  </si>
  <si>
    <t>O0013007096JCIGXS 1870</t>
  </si>
  <si>
    <t>O0013007096JCIGXS 0728</t>
  </si>
  <si>
    <t>O0013007096JCIGXS 0264</t>
  </si>
  <si>
    <t>O0013007096JCIGXS 0016</t>
  </si>
  <si>
    <t>O0013007096JCIGXS 0583</t>
  </si>
  <si>
    <t>O0013007096JCIGXS 1781</t>
  </si>
  <si>
    <t>O0013007096JCIGXS 0867</t>
  </si>
  <si>
    <t>O0013007096JCIGXS 2202</t>
  </si>
  <si>
    <t>O0013007096JCIGXS 0350</t>
  </si>
  <si>
    <t>O0013007096JCIGXS 2309</t>
  </si>
  <si>
    <t>O0013007096JCIGXS 1339</t>
  </si>
  <si>
    <t>O0013007096JCIGXS 1198</t>
  </si>
  <si>
    <t>O0013007096JCIGXS 2154</t>
  </si>
  <si>
    <t>O0013007096JCIGXS 1421</t>
  </si>
  <si>
    <t>O0013007096JCIGXS 1420</t>
  </si>
  <si>
    <t>O0013007096JCIGXS 2100</t>
  </si>
  <si>
    <t>O0013007096JCIGXS 0170</t>
  </si>
  <si>
    <t>O0013007096JCIGXS 0919</t>
  </si>
  <si>
    <t>O0013007096JCIGXS 1307</t>
  </si>
  <si>
    <t>O0013007096JCIGXS 0534</t>
  </si>
  <si>
    <t>O0013007096JCIGXS 0410</t>
  </si>
  <si>
    <t>O0013007096JCIGXS 1754</t>
  </si>
  <si>
    <t>O0013007096JCIGXS 0493</t>
  </si>
  <si>
    <t>O0013007096JCIGXS 0891</t>
  </si>
  <si>
    <t>O0013007096JCIGXS 1898</t>
  </si>
  <si>
    <t>O0013007096JCIGXS 0535</t>
  </si>
  <si>
    <t>O0013007096JCIGXS 0144</t>
  </si>
  <si>
    <t>O0013007096JCIGXS 0602</t>
  </si>
  <si>
    <t>O0013007096JCIGXS 0370</t>
  </si>
  <si>
    <t>O0013007096JCIGXS 1352</t>
  </si>
  <si>
    <t>O0013007096JCIGXS 1912</t>
  </si>
  <si>
    <t>O0013007096JCIGXS 1050</t>
  </si>
  <si>
    <t>O0013007096JCIGXS 1308</t>
  </si>
  <si>
    <t>O0013007096JCIGXS 0038</t>
  </si>
  <si>
    <t>O0013007096JCIGXS 0755</t>
  </si>
  <si>
    <t>O0013007096JCIGXS 0133</t>
  </si>
  <si>
    <t>O0013007096JCIGXS 0275</t>
  </si>
  <si>
    <t>O0013007096JCIGXS 0664</t>
  </si>
  <si>
    <t>O0013007096JCIGXS 2133</t>
  </si>
  <si>
    <t>O0013007096JCIGXS 0117</t>
  </si>
  <si>
    <t>O0013007096JCIGXS 1059</t>
  </si>
  <si>
    <t>O0013007096JCIGXS 1899</t>
  </si>
  <si>
    <t>O0013007096JCIGXS 0607</t>
  </si>
  <si>
    <t>O0013007096JCIGXS 0338</t>
  </si>
  <si>
    <t>O0013007096JCIGXS 0322</t>
  </si>
  <si>
    <t>O0013007096JCIGXS 1908</t>
  </si>
  <si>
    <t>O0013007096JCIGXS 0257</t>
  </si>
  <si>
    <t>O0013007096JCIGXS 16281</t>
  </si>
  <si>
    <t>O0013007096JCIGXS 1628</t>
  </si>
  <si>
    <t>O0013007096JCIGXS 1342</t>
  </si>
  <si>
    <t>O0013007096JCIGXS 0887</t>
  </si>
  <si>
    <t>O0013007096JCIGXS 1485</t>
  </si>
  <si>
    <t>O0013007096JCIGXS 0394</t>
  </si>
  <si>
    <t>O0013007096JCIGXS 0441</t>
  </si>
  <si>
    <t>O0013007096JCIGXS 1442</t>
  </si>
  <si>
    <t>O0013007096JCIGXS 14421</t>
  </si>
  <si>
    <t>O0013007096JCIGXS 44111</t>
  </si>
  <si>
    <t>O0013007096JCIGXS 0325</t>
  </si>
  <si>
    <t>O0013007096JCIGXS 1923</t>
  </si>
  <si>
    <t>O0013007096JCIGXS 2484</t>
  </si>
  <si>
    <t>O0013007096JCIGXS 0881</t>
  </si>
  <si>
    <t>O0013007096JCIGXS 0477</t>
  </si>
  <si>
    <t>O0013007096JCIGXS 0503</t>
  </si>
  <si>
    <t>O0013007096JCIGXS 0115</t>
  </si>
  <si>
    <t>O0013007096JCIGXS 0135</t>
  </si>
  <si>
    <t>O0013007096JCIGXS 0486</t>
  </si>
  <si>
    <t>O0013007096JCIGXS 2313</t>
  </si>
  <si>
    <t>O0013007096JCIGXS 0496</t>
  </si>
  <si>
    <t>O0013007096JCIGXS 1913</t>
  </si>
  <si>
    <t>O0013007096JCIGXS 1449</t>
  </si>
  <si>
    <t>O0013007096JCIGXS 0460</t>
  </si>
  <si>
    <t>O0013007096JCIGXS 4601</t>
  </si>
  <si>
    <t>O0013007096JCIGXS 8000</t>
  </si>
  <si>
    <t>O0013007096JCIGXS 0585</t>
  </si>
  <si>
    <t>O0013007096JCIGXS 0289</t>
  </si>
  <si>
    <t>O0013007096JCIGXS 0405</t>
  </si>
  <si>
    <t>O0013007096JCIGXS 0472</t>
  </si>
  <si>
    <t>O0013007096JCIGXS 0586</t>
  </si>
  <si>
    <t>O0013007096JCIGXS 0848</t>
  </si>
  <si>
    <t>O0013007096JCIGXS 0461</t>
  </si>
  <si>
    <t>O0013007096JCIGXS 0864</t>
  </si>
  <si>
    <t>O0013007096JCIGXS 0423</t>
  </si>
  <si>
    <t>O0013007096JCIGXS 42311</t>
  </si>
  <si>
    <t>O0013007096JCIGXS 0297</t>
  </si>
  <si>
    <t>O0013007096JCIGXS 86421</t>
  </si>
  <si>
    <t>O0013007096JCIGXS 29711</t>
  </si>
  <si>
    <t>O0013007096JCIGXS 1620</t>
  </si>
  <si>
    <t>O0013007096JCIGXS 16201</t>
  </si>
  <si>
    <t>O0013007096JCIGXS 0539</t>
  </si>
  <si>
    <t>O0013007096JCIGXS 0253</t>
  </si>
  <si>
    <t>O0013007096JCIGXS 0095</t>
  </si>
  <si>
    <t>O0013007096JCIGXS 0151</t>
  </si>
  <si>
    <t>O0013007096JCIGXS 0943</t>
  </si>
  <si>
    <t>O0013007096JCIGXS 1502</t>
  </si>
  <si>
    <t>O0013007096JCIGXS 1015</t>
  </si>
  <si>
    <t>O0013007096JCIGXS 2153</t>
  </si>
  <si>
    <t>O0013007096JCIGXS 2305</t>
  </si>
  <si>
    <t>O0013007096JCIGXS 0536</t>
  </si>
  <si>
    <t>O0013007096JCIGXS 0265</t>
  </si>
  <si>
    <t>O0013007096JCIGXS 1515</t>
  </si>
  <si>
    <t>O0013007096JCIGXS 1305</t>
  </si>
  <si>
    <t>O0013007096JCIGXS 0341</t>
  </si>
  <si>
    <t>O0013007096JCIGXS 2130</t>
  </si>
  <si>
    <t>O0013007096JCIGXS 0685</t>
  </si>
  <si>
    <t>O0013007096JCIGXS 1503</t>
  </si>
  <si>
    <t>O0013007096JCIGXS 0039</t>
  </si>
  <si>
    <t>O0013007096JCIGXS 0693</t>
  </si>
  <si>
    <t>O0013007096JCIGXS 0013</t>
  </si>
  <si>
    <t>O0013007096JCIGXS 1311</t>
  </si>
  <si>
    <t>O0013007096JCIGXS 1290</t>
  </si>
  <si>
    <t>O0013007096JCIGXS 0356</t>
  </si>
  <si>
    <t>O0013007096JCIGXS 0954</t>
  </si>
  <si>
    <t>O0013007096JCIGXS 0459</t>
  </si>
  <si>
    <t>O0013007096JCIGXS 0243</t>
  </si>
  <si>
    <t>O0013007096JCIGXS 0581</t>
  </si>
  <si>
    <t>O0013007096JCIGXS 0290</t>
  </si>
  <si>
    <t>O0013007096JCIGXS 0326</t>
  </si>
  <si>
    <t>O0013007096JCIGXS 1924</t>
  </si>
  <si>
    <t>O0013007096JCIGXS 0252</t>
  </si>
  <si>
    <t>O0013007096JCIGXS 0337</t>
  </si>
  <si>
    <t>O0013007096JCIGXS 0970</t>
  </si>
  <si>
    <t>O0013007096JCIGXS 0323</t>
  </si>
  <si>
    <t>O0013007096JCIGXS 0246</t>
  </si>
  <si>
    <t>O0013007096JCIGXS 0043</t>
  </si>
  <si>
    <t>O0013007096JCIGXS 0967</t>
  </si>
  <si>
    <t>O0013007096JCIGXS 0335</t>
  </si>
  <si>
    <t>O0013007096JCIGXS 0525</t>
  </si>
  <si>
    <t>O0013007096JCIGXS 1905</t>
  </si>
  <si>
    <t>O0013007096JCIGXS 1938</t>
  </si>
  <si>
    <t>O0013007096JCIGXS 1949</t>
  </si>
  <si>
    <t>O0013007096JCIGXS 1939</t>
  </si>
  <si>
    <t>O0013007096JCIGXS 1940</t>
  </si>
  <si>
    <t>O0013007096JCIGXS 1941</t>
  </si>
  <si>
    <t>O0013007096JCIGXS 1948</t>
  </si>
  <si>
    <t>O0013007096JCIGXS 1942</t>
  </si>
  <si>
    <t>O0013007096JCIGXS 1943</t>
  </si>
  <si>
    <t>O0013007096JCIGXS 1944</t>
  </si>
  <si>
    <t>O0013007096JCIGXS 1930</t>
  </si>
  <si>
    <t>O0013007096JCIGXS 1951</t>
  </si>
  <si>
    <t>O0013007096JCIGXS 1934</t>
  </si>
  <si>
    <t>O0013007096JCIGXS 1918</t>
  </si>
  <si>
    <t>O0013007096JCIGXS 1945</t>
  </si>
  <si>
    <t>O0013007096JCIGXS 1919</t>
  </si>
  <si>
    <t>O0013007096JCIGXS 1933</t>
  </si>
  <si>
    <t>O0013007096JCIGXS 1932</t>
  </si>
  <si>
    <t>O0013007096JCIGXS 1936</t>
  </si>
  <si>
    <t>O0013007096JCIGXS 1953</t>
  </si>
  <si>
    <t>O0013007096JCIGXS 1954</t>
  </si>
  <si>
    <t>O0013007096JCIGXS 1916</t>
  </si>
  <si>
    <t>O0013007096JCIGXS 1917</t>
  </si>
  <si>
    <t>O0013007096JCIGXS 1947</t>
  </si>
  <si>
    <t>O0013007096JCIGXS 0644</t>
  </si>
  <si>
    <t>O0013007096JCIGXS 2493</t>
  </si>
  <si>
    <t>O0013007096JCIGXS 1897</t>
  </si>
  <si>
    <t>O0013007096JCIGXS 0875</t>
  </si>
  <si>
    <t>O0013007096JCIGXS 1312</t>
  </si>
  <si>
    <t>O0013007096JCIGXS 1051</t>
  </si>
  <si>
    <t>O0013007096JCIGXS 0113</t>
  </si>
  <si>
    <t>01</t>
  </si>
  <si>
    <t>Same as Prod with "T" at the end</t>
  </si>
  <si>
    <t>ZZ</t>
  </si>
  <si>
    <t>Test UNB</t>
  </si>
  <si>
    <t>Not used</t>
  </si>
  <si>
    <t>Registration e-mail ID</t>
  </si>
  <si>
    <t>https://tradinggrid.gxs.com/TigerPortal</t>
  </si>
  <si>
    <t>2860</t>
  </si>
  <si>
    <t>Mor JIT</t>
  </si>
  <si>
    <t>Mor Metal</t>
  </si>
  <si>
    <t>+O0013007096ADNTBIS 0167+</t>
  </si>
  <si>
    <t>+O0013007096ADNTBIS 0538+</t>
  </si>
  <si>
    <t>+O0013007096ADNTBIS 0667+</t>
  </si>
  <si>
    <t>+O0013007096ADNTBIS 0647+</t>
  </si>
  <si>
    <t>O0013007096ADNTBIS 1769</t>
  </si>
  <si>
    <t>+O0013007096ADNTBIS 1769+</t>
  </si>
  <si>
    <t>O0013007096ADNTBIS 0255</t>
  </si>
  <si>
    <t>+O0013007096ADNTBIS 0255+</t>
  </si>
  <si>
    <t>O0013007096ADNTBIS 0347</t>
  </si>
  <si>
    <t>+O0013007096ADNTBIS 0347+</t>
  </si>
  <si>
    <t>O0013007096ADNTBIS 0118</t>
  </si>
  <si>
    <t>+O0013007096ADNTBIS 0118+</t>
  </si>
  <si>
    <t>O0013007096ADNTBIS 0862</t>
  </si>
  <si>
    <t>+O0013007096ADNTBIS 0862+</t>
  </si>
  <si>
    <t>+O0013007096ADNTBIS 0103+</t>
  </si>
  <si>
    <t>O0013007096ADNTBIS 0728</t>
  </si>
  <si>
    <t>+O0013007096ADNTBIS 0728+</t>
  </si>
  <si>
    <t>+O0013007096ADNTBIS 0867+</t>
  </si>
  <si>
    <t>O0013007096ADNTBIS 2202</t>
  </si>
  <si>
    <t>+O0013007096ADNTBIS 2202+</t>
  </si>
  <si>
    <t>O0013007096ADNTBIS 1198</t>
  </si>
  <si>
    <t>+O0013007096ADNTBIS 1198+</t>
  </si>
  <si>
    <t>O0013007096ADNTBIS 2572</t>
  </si>
  <si>
    <t>+O0013007096ADNTBIS 2572+</t>
  </si>
  <si>
    <t>O0013007096ADNTBIS 2710</t>
  </si>
  <si>
    <t>+O0013007096ADNTBIS 2710+</t>
  </si>
  <si>
    <t>O0013007096ADNTBIS 1421</t>
  </si>
  <si>
    <t>+O0013007096ADNTBIS 1421+</t>
  </si>
  <si>
    <t>O0013007096ADNTBIS 1420</t>
  </si>
  <si>
    <t>+O0013007096ADNTBIS 1420+</t>
  </si>
  <si>
    <t>O0013007096ADNTBIS 2100</t>
  </si>
  <si>
    <t>+O0013007096ADNTBIS 2100+</t>
  </si>
  <si>
    <t>O0013007096ADNTBIS 0583</t>
  </si>
  <si>
    <t>+O0013007096ADNTBIS 0583+</t>
  </si>
  <si>
    <t>O0013007096ADNTBIS 2674</t>
  </si>
  <si>
    <t>+O0013007096ADNTBIS 2674+</t>
  </si>
  <si>
    <t>O0013007096ADNTBIS 2798</t>
  </si>
  <si>
    <t>+O0013007096ADNTBIS 2798+</t>
  </si>
  <si>
    <t>+O0013007096ADNTBIS 0891+</t>
  </si>
  <si>
    <t>O0013007096ADNTBIS 1525</t>
  </si>
  <si>
    <t>+O0013007096ADNTBIS 1525+</t>
  </si>
  <si>
    <t>+O0013007096ADNTBIS 0144+</t>
  </si>
  <si>
    <t>+O0013007096ADNTBIS 0113+</t>
  </si>
  <si>
    <t>O0013007096ADNTBIS 1050</t>
  </si>
  <si>
    <t>+O0013007096ADNTBIS 1050+</t>
  </si>
  <si>
    <t>O0013007096ADNTBIS 0275</t>
  </si>
  <si>
    <t>+O0013007096ADNTBIS 0275+</t>
  </si>
  <si>
    <t>O0013007096ADNTBIS 2133</t>
  </si>
  <si>
    <t>+O0013007096ADNTBIS 2133+</t>
  </si>
  <si>
    <t>O0013007096ADNTBIS 2860</t>
  </si>
  <si>
    <t>+O0013007096ADNTBIS 2860+</t>
  </si>
  <si>
    <t>O0013007096ADNTBIS 2850</t>
  </si>
  <si>
    <t>O0013007096ADNTBIS 0338</t>
  </si>
  <si>
    <t>+O0013007096ADNTBIS 0338+</t>
  </si>
  <si>
    <t>O0013007096ADNTBIS 2184</t>
  </si>
  <si>
    <t>+O0013007096ADNTBIS 2184+</t>
  </si>
  <si>
    <t>O0013007096ADNTBIS 2186</t>
  </si>
  <si>
    <t>+O0013007096ADNTBIS 2186+</t>
  </si>
  <si>
    <t>+O0013007096ADNTBIS 1485+</t>
  </si>
  <si>
    <t>O0013007096ADNTBIS 0325</t>
  </si>
  <si>
    <t>+O0013007096ADNTBIS 0325+</t>
  </si>
  <si>
    <t>O0013007096ADNTBIS 2832</t>
  </si>
  <si>
    <t>+O0013007096ADNTBIS 2832+</t>
  </si>
  <si>
    <t>+O0013007096ADNTBIS 0486+</t>
  </si>
  <si>
    <t>O0013007096ADNTBIS 1449</t>
  </si>
  <si>
    <t>+O0013007096ADNTBIS 1449+</t>
  </si>
  <si>
    <t>+O0013007096ADNTBIS 0289+</t>
  </si>
  <si>
    <t>O0013007096ADNTBIS 0405</t>
  </si>
  <si>
    <t>+O0013007096ADNTBIS 0405+</t>
  </si>
  <si>
    <t>O0013007096ADNTBIS 2301</t>
  </si>
  <si>
    <t>+O0013007096ADNTBIS 2301+</t>
  </si>
  <si>
    <t>O0013007096ADNTBIS 2302</t>
  </si>
  <si>
    <t>+O0013007096ADNTBIS 2302+</t>
  </si>
  <si>
    <t>O0013007096ADNTBIS 0943</t>
  </si>
  <si>
    <t>+O0013007096ADNTBIS 0943+</t>
  </si>
  <si>
    <t>O0013007096ADNTBIS 1501</t>
  </si>
  <si>
    <t>+O0013007096ADNTBIS 1501+</t>
  </si>
  <si>
    <t>O0013007096ADNTBIS 1502</t>
  </si>
  <si>
    <t>+O0013007096ADNTBIS 1502+</t>
  </si>
  <si>
    <t>O0013007096ADNTBIS 2153</t>
  </si>
  <si>
    <t>+O0013007096ADNTBIS 2153+</t>
  </si>
  <si>
    <t>O0013007096ADNTBIS 0265</t>
  </si>
  <si>
    <t>+O0013007096ADNTBIS 0265+</t>
  </si>
  <si>
    <t>+O0013007096ADNTBIS 1515+</t>
  </si>
  <si>
    <t>O0013007096ADNTBIS 0341</t>
  </si>
  <si>
    <t>+O0013007096ADNTBIS 0341+</t>
  </si>
  <si>
    <t>O0013007096ADNTBIS 2351</t>
  </si>
  <si>
    <t>+O0013007096ADNTBIS 2351+</t>
  </si>
  <si>
    <t>+O0013007096ADNTBIS 2130+</t>
  </si>
  <si>
    <t>O0013007096ADNTBIS 0685</t>
  </si>
  <si>
    <t>+O0013007096ADNTBIS 0685+</t>
  </si>
  <si>
    <t>O0013007096ADNTBIS 1503</t>
  </si>
  <si>
    <t>+O0013007096ADNTBIS 1503+</t>
  </si>
  <si>
    <t>O0013007096ADNTBIS 2838</t>
  </si>
  <si>
    <t>+O0013007096ADNTBIS 2838+</t>
  </si>
  <si>
    <t>O0013007096ADNTBIS 0290</t>
  </si>
  <si>
    <t>+O0013007096ADNTBIS 0290+</t>
  </si>
  <si>
    <t>O0013007096ADNTBIS 0326</t>
  </si>
  <si>
    <t>+O0013007096ADNTBIS 0326+</t>
  </si>
  <si>
    <t>+O0013007096ADNTBIS 0337+</t>
  </si>
  <si>
    <t>O0013007096ADNTBIS 2571</t>
  </si>
  <si>
    <t>O0013007096ADNTBIS 0246</t>
  </si>
  <si>
    <t>+O0013007096ADNTBIS 0246+</t>
  </si>
  <si>
    <t>O0013007096ADNTBIS 1922</t>
  </si>
  <si>
    <t>+O0013007096ADNTBIS 1922+</t>
  </si>
  <si>
    <t>+O0013007096ADNTBIS 0644+</t>
  </si>
  <si>
    <t>O0013007096ADNTBIS 2493</t>
  </si>
  <si>
    <t>+O0013007096ADNTBIS 2493+</t>
  </si>
  <si>
    <t>O0013007096ADNTBIS 2166</t>
  </si>
  <si>
    <t>+O0013007096ADNTBIS 2166+</t>
  </si>
  <si>
    <t>+O0013007096ADNTBIS 0875+</t>
  </si>
  <si>
    <t>O0013007096ADNTBIS 1051</t>
  </si>
  <si>
    <t>+O0013007096ADNTBIS 1051+</t>
  </si>
  <si>
    <t>Will be shared after submitting questionnaire</t>
  </si>
  <si>
    <t>O0013007096ADNTBIS 2643</t>
  </si>
  <si>
    <t>O0013007096ADNTBIS 2508</t>
  </si>
  <si>
    <t>O0013007096ADNTBIS 1752</t>
  </si>
  <si>
    <t>O0013007096ADNTBIS 0849</t>
  </si>
  <si>
    <t>O0013007096ADNTBIS 0872</t>
  </si>
  <si>
    <t>O0013007096ADNTBIS 0786</t>
  </si>
  <si>
    <t>O0013007096ADNTBIS 0788</t>
  </si>
  <si>
    <t>O0013007096ADNTBIS 0785</t>
  </si>
  <si>
    <t>O0013007096ADNTBIS 0787</t>
  </si>
  <si>
    <t>O0013007096ADNTBIS 2558</t>
  </si>
  <si>
    <t>+O0013007096ADNTBIS 2558+</t>
  </si>
  <si>
    <t>O0013007096ADNTBIS 1351</t>
  </si>
  <si>
    <t>+O0013007096ADNTBIS 1351+</t>
  </si>
  <si>
    <t>O0013007096ADNTBIS 1872</t>
  </si>
  <si>
    <t>O0013007096ADNTBIS 0090</t>
  </si>
  <si>
    <t>O0013007096ADNTBIS 1226</t>
  </si>
  <si>
    <t>O0013007096ADNTBIS 13181</t>
  </si>
  <si>
    <t>O0013007096ADNTBIS 46911</t>
  </si>
  <si>
    <t>O0013007096ADNTBIS 0056</t>
  </si>
  <si>
    <t>O0013007096ADNTBIS 0278</t>
  </si>
  <si>
    <t>O0013007096ADNTBIS 0436</t>
  </si>
  <si>
    <t>O0013007096ADNTBIS 0438</t>
  </si>
  <si>
    <t>O0013007096ADNTBIS 0760</t>
  </si>
  <si>
    <t>O0013007096ADNTBIS 1463</t>
  </si>
  <si>
    <t>+O0013007096ADNTBIS 1463+</t>
  </si>
  <si>
    <t>O0013007096ADNTBIS 0204</t>
  </si>
  <si>
    <t>O0013007096ADNTBIS 18711</t>
  </si>
  <si>
    <t>O0013007096ADNTBIS 18701</t>
  </si>
  <si>
    <t>O0013007096ADNTBIS 0016</t>
  </si>
  <si>
    <t>O0013007096ADNTBIS 2694</t>
  </si>
  <si>
    <t>O0013007096ADNTBIS 2566</t>
  </si>
  <si>
    <t>O0013007096ADNTBIS 1339</t>
  </si>
  <si>
    <t>O0013007096ADNTBIS 0919</t>
  </si>
  <si>
    <t>O0013007096ADNTBIS 1754</t>
  </si>
  <si>
    <t>O0013007096ADNTBIS 2655</t>
  </si>
  <si>
    <t>O0013007096ADNTBIS 1352</t>
  </si>
  <si>
    <t>+O0013007096ADNTBIS 1352+</t>
  </si>
  <si>
    <t>O0013007096ADNTBIS 0133</t>
  </si>
  <si>
    <t>O0013007096ADNTBIS 0664</t>
  </si>
  <si>
    <t>O0013007096ADNTBIS 0117</t>
  </si>
  <si>
    <t>O0013007096ADNTBIS 0607</t>
  </si>
  <si>
    <t>O0013007096ADNTBIS 14421</t>
  </si>
  <si>
    <t>O0013007096ADNTBIS 44111</t>
  </si>
  <si>
    <t>O0013007096ADNTBIS 0881</t>
  </si>
  <si>
    <t>O0013007096ADNTBIS 0477</t>
  </si>
  <si>
    <t>O0013007096ADNTBIS 0503</t>
  </si>
  <si>
    <t>O0013007096ADNTBIS 0115</t>
  </si>
  <si>
    <t>O0013007096ADNTBIS 1721</t>
  </si>
  <si>
    <t>O0013007096ADNTBIS 0135</t>
  </si>
  <si>
    <t>O0013007096ADNTBIS 4601</t>
  </si>
  <si>
    <t>O0013007096ADNTBIS 8000</t>
  </si>
  <si>
    <t>O0013007096ADNTBIS 0472</t>
  </si>
  <si>
    <t>O0013007096ADNTBIS 0586</t>
  </si>
  <si>
    <t>O0013007096ADNTBIS 0848</t>
  </si>
  <si>
    <t>O0013007096ADNTBIS 42311</t>
  </si>
  <si>
    <t>O0013007096ADNTBIS 86421</t>
  </si>
  <si>
    <t>O0013007096ADNTBIS 29711</t>
  </si>
  <si>
    <t>O0013007096ADNTBIS 16201</t>
  </si>
  <si>
    <t>O0013007096ADNTBIS 0095</t>
  </si>
  <si>
    <t>O0013007096ADNTBIS 0039</t>
  </si>
  <si>
    <t>O0013007096ADNTBIS 0013</t>
  </si>
  <si>
    <t>O0013007096ADNTBIS 0356</t>
  </si>
  <si>
    <t>O0013007096ADNTBIS 0043</t>
  </si>
  <si>
    <t>O0013007096ADNTBIS 0335</t>
  </si>
  <si>
    <t>O0013007096ADNTBIS 2711</t>
  </si>
  <si>
    <t>O0013007096ADNTBIS 1953</t>
  </si>
  <si>
    <t>oftp2.adient.com</t>
  </si>
  <si>
    <t>198.36.84.77</t>
  </si>
  <si>
    <t>198.36.86.68 and 198.35.72.7</t>
  </si>
  <si>
    <t>b2b-europe.adient.com/AS2</t>
  </si>
  <si>
    <t>ADNT_SEEBIS_TEST</t>
  </si>
  <si>
    <t>ADNT_SEEBIS</t>
  </si>
  <si>
    <t>198.36.86.68 and 198.35.72.7  (Please allow firewall access)</t>
  </si>
  <si>
    <t>O0013007096ADNTBIS</t>
  </si>
  <si>
    <t>O0013007096ADNTBIS 2162</t>
  </si>
  <si>
    <t>O0013007096ADNTBIS 2109</t>
  </si>
  <si>
    <t>O0013007096ADNTBIS 0715</t>
  </si>
  <si>
    <t>O0013007096ADNTBIS 2101</t>
  </si>
  <si>
    <t>O0013007096ADNTBIS 2172</t>
  </si>
  <si>
    <t>0715</t>
  </si>
  <si>
    <t>O0013007096ADNTBIS 2152</t>
  </si>
  <si>
    <t>O0013007096ADNTBIS 2171</t>
  </si>
  <si>
    <t>O0013007096ADNTBIS 2106</t>
  </si>
  <si>
    <t>O0013007096ADNTBIS 2132</t>
  </si>
  <si>
    <t>O0013007096ADNTBIS 2189</t>
  </si>
  <si>
    <t>O0013007096ADNTBIS 2361</t>
  </si>
  <si>
    <t>O0013007096ADNTBIS 2352</t>
  </si>
  <si>
    <t>O0013007096ADNTBIS 2354</t>
  </si>
  <si>
    <t>O0013007096ADNTBIS 2359</t>
  </si>
  <si>
    <t>O0013007096ADNTBIS 2158</t>
  </si>
  <si>
    <t>O0013007096ADNTBIS 2173</t>
  </si>
  <si>
    <t>O0013007096ADNTBIS 2165</t>
  </si>
  <si>
    <t>Romulus</t>
  </si>
  <si>
    <t>O0013007096ADNTBIS 2864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</si>
</sst>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/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70C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4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vertical="center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 wrapText="1"/>
    </xf>
    <xf numFmtId="0" fontId="4" fillId="0" borderId="0" xfId="1" applyAlignment="1" applyProtection="1"/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Alignment="1" applyProtection="1">
      <alignment vertical="center" wrapText="1"/>
    </xf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2" borderId="6" xfId="0" applyFill="1" applyBorder="1"/>
    <xf numFmtId="0" fontId="1" fillId="2" borderId="7" xfId="0" applyFont="1" applyFill="1" applyBorder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0" fillId="0" borderId="5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4" xfId="0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5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12" fillId="0" borderId="0" xfId="0" applyFont="1"/>
    <xf numFmtId="49" fontId="11" fillId="0" borderId="0" xfId="0" applyNumberFormat="1" applyFont="1" applyAlignment="1">
      <alignment horizontal="center"/>
    </xf>
    <xf numFmtId="0" fontId="0" fillId="3" borderId="0" xfId="0" applyFill="1" applyProtection="1">
      <protection locked="0"/>
    </xf>
    <xf numFmtId="49" fontId="0" fillId="3" borderId="9" xfId="0" quotePrefix="1" applyNumberFormat="1" applyFill="1" applyBorder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4" fillId="0" borderId="0" xfId="0" applyNumberFormat="1" applyFont="1" applyAlignment="1" applyProtection="1">
      <alignment wrapText="1"/>
      <protection locked="0"/>
    </xf>
    <xf numFmtId="49" fontId="14" fillId="0" borderId="19" xfId="0" applyNumberFormat="1" applyFont="1" applyBorder="1" applyAlignment="1" applyProtection="1">
      <alignment wrapText="1"/>
      <protection locked="0"/>
    </xf>
    <xf numFmtId="0" fontId="14" fillId="0" borderId="0" xfId="0" applyFont="1" applyAlignment="1">
      <alignment wrapText="1"/>
    </xf>
    <xf numFmtId="49" fontId="14" fillId="0" borderId="20" xfId="0" applyNumberFormat="1" applyFont="1" applyBorder="1" applyAlignment="1" applyProtection="1">
      <alignment horizontal="center" wrapText="1"/>
      <protection locked="0"/>
    </xf>
    <xf numFmtId="49" fontId="14" fillId="0" borderId="21" xfId="0" applyNumberFormat="1" applyFont="1" applyBorder="1" applyAlignment="1" applyProtection="1">
      <alignment wrapText="1"/>
      <protection locked="0"/>
    </xf>
    <xf numFmtId="49" fontId="15" fillId="0" borderId="0" xfId="0" applyNumberFormat="1" applyFont="1" applyAlignment="1" applyProtection="1">
      <alignment horizontal="left" wrapText="1"/>
      <protection locked="0"/>
    </xf>
    <xf numFmtId="49" fontId="14" fillId="0" borderId="0" xfId="0" applyNumberFormat="1" applyFont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wrapText="1"/>
      <protection locked="0"/>
    </xf>
    <xf numFmtId="0" fontId="0" fillId="0" borderId="21" xfId="0" applyBorder="1"/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3" borderId="0" xfId="0" applyFill="1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Protection="1">
      <protection locked="0"/>
    </xf>
    <xf numFmtId="49" fontId="0" fillId="0" borderId="0" xfId="0" applyNumberFormat="1" applyAlignment="1">
      <alignment wrapText="1"/>
    </xf>
    <xf numFmtId="49" fontId="19" fillId="0" borderId="19" xfId="0" applyNumberFormat="1" applyFont="1" applyBorder="1" applyAlignment="1" applyProtection="1">
      <alignment wrapText="1"/>
      <protection locked="0"/>
    </xf>
    <xf numFmtId="49" fontId="19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/>
    <xf numFmtId="49" fontId="17" fillId="0" borderId="0" xfId="0" applyNumberFormat="1" applyFont="1" applyAlignment="1">
      <alignment vertical="center" wrapText="1"/>
    </xf>
    <xf numFmtId="0" fontId="11" fillId="0" borderId="0" xfId="0" quotePrefix="1" applyFont="1" applyAlignment="1">
      <alignment horizontal="center"/>
    </xf>
    <xf numFmtId="49" fontId="11" fillId="0" borderId="0" xfId="0" applyNumberFormat="1" applyFont="1"/>
    <xf numFmtId="0" fontId="11" fillId="0" borderId="0" xfId="0" quotePrefix="1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49" fontId="11" fillId="0" borderId="0" xfId="0" quotePrefix="1" applyNumberFormat="1" applyFont="1" applyAlignment="1">
      <alignment horizontal="justify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quotePrefix="1" applyFont="1"/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 vertical="center" wrapText="1"/>
    </xf>
    <xf numFmtId="0" fontId="16" fillId="0" borderId="0" xfId="1" quotePrefix="1" applyFont="1" applyFill="1" applyAlignment="1" applyProtection="1">
      <alignment horizontal="justify" vertical="center" wrapText="1"/>
    </xf>
    <xf numFmtId="49" fontId="11" fillId="0" borderId="0" xfId="0" quotePrefix="1" applyNumberFormat="1" applyFont="1" applyAlignment="1">
      <alignment vertical="center" wrapText="1"/>
    </xf>
    <xf numFmtId="0" fontId="11" fillId="0" borderId="0" xfId="0" quotePrefix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justify" vertical="center" wrapText="1"/>
    </xf>
    <xf numFmtId="0" fontId="7" fillId="0" borderId="0" xfId="0" quotePrefix="1" applyFont="1" applyAlignment="1">
      <alignment horizontal="right"/>
    </xf>
    <xf numFmtId="14" fontId="0" fillId="0" borderId="0" xfId="0" applyNumberFormat="1"/>
    <xf numFmtId="49" fontId="16" fillId="0" borderId="0" xfId="1" quotePrefix="1" applyNumberFormat="1" applyFont="1" applyFill="1" applyAlignment="1" applyProtection="1">
      <alignment horizontal="justify" vertical="center" wrapText="1"/>
    </xf>
    <xf numFmtId="49" fontId="18" fillId="0" borderId="0" xfId="0" applyNumberFormat="1" applyFont="1" applyAlignment="1">
      <alignment horizontal="justify" vertical="center" wrapText="1"/>
    </xf>
    <xf numFmtId="0" fontId="4" fillId="0" borderId="0" xfId="1" applyAlignment="1" applyProtection="1">
      <alignment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/>
    <xf numFmtId="49" fontId="11" fillId="3" borderId="0" xfId="0" applyNumberFormat="1" applyFont="1" applyFill="1" applyAlignment="1">
      <alignment horizontal="justify" vertical="center" wrapText="1"/>
    </xf>
    <xf numFmtId="49" fontId="11" fillId="3" borderId="0" xfId="0" applyNumberFormat="1" applyFont="1" applyFill="1" applyAlignment="1">
      <alignment horizontal="center"/>
    </xf>
    <xf numFmtId="0" fontId="11" fillId="3" borderId="0" xfId="0" quotePrefix="1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0" fillId="0" borderId="0" xfId="0"/>
    <xf numFmtId="0" fontId="0" fillId="3" borderId="10" xfId="0" applyFill="1" applyBorder="1" applyProtection="1"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3" borderId="0" xfId="0" applyFill="1" applyAlignment="1" applyProtection="1">
      <alignment horizontal="left"/>
      <protection locked="0"/>
    </xf>
    <xf numFmtId="49" fontId="0" fillId="3" borderId="17" xfId="0" applyNumberFormat="1" applyFill="1" applyBorder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7" fillId="0" borderId="9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3" borderId="10" xfId="1" applyFill="1" applyBorder="1" applyAlignment="1">
      <alignment horizontal="left"/>
      <protection locked="0"/>
    </xf>
    <xf numFmtId="0" fontId="7" fillId="0" borderId="0" xfId="0" applyFont="1"/>
    <xf numFmtId="0" fontId="0" fillId="3" borderId="9" xfId="0" applyFill="1" applyBorder="1"/>
    <xf numFmtId="49" fontId="13" fillId="0" borderId="0" xfId="0" applyNumberFormat="1" applyFont="1" applyProtection="1">
      <protection locked="0"/>
    </xf>
    <xf numFmtId="49" fontId="0" fillId="3" borderId="0" xfId="0" applyNumberFormat="1" applyFill="1" applyProtection="1">
      <protection locked="0"/>
    </xf>
    <xf numFmtId="0" fontId="0" fillId="0" borderId="0" xfId="0" applyAlignment="1">
      <alignment horizontal="left"/>
    </xf>
    <xf numFmtId="49" fontId="0" fillId="3" borderId="9" xfId="0" applyNumberFormat="1" applyFill="1" applyBorder="1" applyProtection="1">
      <protection locked="0"/>
    </xf>
    <xf numFmtId="0" fontId="0" fillId="0" borderId="9" xfId="0" applyBorder="1"/>
    <xf numFmtId="0" fontId="7" fillId="0" borderId="0" xfId="0" quotePrefix="1" applyFont="1"/>
  </cellXfs>
  <cellStyles count="2">
    <cellStyle name="Hyperlink" xfId="1" builtinId="8"/>
    <cellStyle name="Normal" xfId="0" builtinId="0"/>
  </cellStyles>
  <dxfs count="1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ont>
        <color auto="1"/>
      </font>
      <fill>
        <patternFill>
          <fgColor rgb="FFFF0000"/>
          <bgColor theme="0"/>
        </patternFill>
      </fill>
      <border>
        <left/>
        <right/>
        <top style="thin">
          <color rgb="FFFF0000"/>
        </top>
        <bottom/>
      </border>
    </dxf>
    <dxf>
      <fill>
        <patternFill>
          <bgColor rgb="FFFFFF00"/>
        </patternFill>
      </fill>
      <border>
        <left/>
        <right/>
        <top/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133350</xdr:rowOff>
    </xdr:from>
    <xdr:to>
      <xdr:col>8</xdr:col>
      <xdr:colOff>628650</xdr:colOff>
      <xdr:row>5</xdr:row>
      <xdr:rowOff>85725</xdr:rowOff>
    </xdr:to>
    <xdr:sp macro="" textlink="">
      <xdr:nvSpPr>
        <xdr:cNvPr id="2" name="WordArt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495300"/>
          <a:ext cx="587692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Global EDI</a:t>
          </a:r>
          <a:r>
            <a:rPr lang="en-US" sz="9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 Trading Partner </a:t>
          </a:r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Form</a:t>
          </a:r>
        </a:p>
      </xdr:txBody>
    </xdr:sp>
    <xdr:clientData/>
  </xdr:twoCellAnchor>
  <xdr:twoCellAnchor>
    <xdr:from>
      <xdr:col>3</xdr:col>
      <xdr:colOff>0</xdr:colOff>
      <xdr:row>78</xdr:row>
      <xdr:rowOff>19050</xdr:rowOff>
    </xdr:from>
    <xdr:to>
      <xdr:col>3</xdr:col>
      <xdr:colOff>133350</xdr:colOff>
      <xdr:row>78</xdr:row>
      <xdr:rowOff>152400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38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171450</xdr:colOff>
      <xdr:row>78</xdr:row>
      <xdr:rowOff>19050</xdr:rowOff>
    </xdr:from>
    <xdr:to>
      <xdr:col>4</xdr:col>
      <xdr:colOff>152400</xdr:colOff>
      <xdr:row>78</xdr:row>
      <xdr:rowOff>152400</xdr:rowOff>
    </xdr:to>
    <xdr:sp macro="" textlink="">
      <xdr:nvSpPr>
        <xdr:cNvPr id="7" name="Text Box 8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35.13.7</a:t>
          </a:r>
        </a:p>
      </xdr:txBody>
    </xdr:sp>
    <xdr:clientData/>
  </xdr:twoCellAnchor>
  <xdr:twoCellAnchor>
    <xdr:from>
      <xdr:col>4</xdr:col>
      <xdr:colOff>152400</xdr:colOff>
      <xdr:row>78</xdr:row>
      <xdr:rowOff>19050</xdr:rowOff>
    </xdr:from>
    <xdr:to>
      <xdr:col>4</xdr:col>
      <xdr:colOff>285750</xdr:colOff>
      <xdr:row>78</xdr:row>
      <xdr:rowOff>152400</xdr:rowOff>
    </xdr:to>
    <xdr:sp macro="" textlink="">
      <xdr:nvSpPr>
        <xdr:cNvPr id="8" name="Text Box 9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400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323850</xdr:colOff>
      <xdr:row>78</xdr:row>
      <xdr:rowOff>19050</xdr:rowOff>
    </xdr:from>
    <xdr:to>
      <xdr:col>5</xdr:col>
      <xdr:colOff>228600</xdr:colOff>
      <xdr:row>78</xdr:row>
      <xdr:rowOff>152400</xdr:rowOff>
    </xdr:to>
    <xdr:sp macro="" textlink="">
      <xdr:nvSpPr>
        <xdr:cNvPr id="9" name="Text Box 9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571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35.13.10</a:t>
          </a:r>
        </a:p>
      </xdr:txBody>
    </xdr:sp>
    <xdr:clientData/>
  </xdr:twoCellAnchor>
  <xdr:twoCellAnchor>
    <xdr:from>
      <xdr:col>5</xdr:col>
      <xdr:colOff>228600</xdr:colOff>
      <xdr:row>78</xdr:row>
      <xdr:rowOff>19050</xdr:rowOff>
    </xdr:from>
    <xdr:to>
      <xdr:col>5</xdr:col>
      <xdr:colOff>361950</xdr:colOff>
      <xdr:row>78</xdr:row>
      <xdr:rowOff>152400</xdr:rowOff>
    </xdr:to>
    <xdr:sp macro="" textlink="">
      <xdr:nvSpPr>
        <xdr:cNvPr id="10" name="Text Box 9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62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466725</xdr:colOff>
      <xdr:row>78</xdr:row>
      <xdr:rowOff>28575</xdr:rowOff>
    </xdr:from>
    <xdr:to>
      <xdr:col>6</xdr:col>
      <xdr:colOff>447675</xdr:colOff>
      <xdr:row>79</xdr:row>
      <xdr:rowOff>0</xdr:rowOff>
    </xdr:to>
    <xdr:sp macro="" textlink="">
      <xdr:nvSpPr>
        <xdr:cNvPr id="11" name="Text Box 10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400425" y="10448925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Setup</a:t>
          </a:r>
        </a:p>
      </xdr:txBody>
    </xdr:sp>
    <xdr:clientData/>
  </xdr:twoCellAnchor>
  <xdr:twoCellAnchor>
    <xdr:from>
      <xdr:col>6</xdr:col>
      <xdr:colOff>571500</xdr:colOff>
      <xdr:row>78</xdr:row>
      <xdr:rowOff>28575</xdr:rowOff>
    </xdr:from>
    <xdr:to>
      <xdr:col>7</xdr:col>
      <xdr:colOff>95250</xdr:colOff>
      <xdr:row>79</xdr:row>
      <xdr:rowOff>0</xdr:rowOff>
    </xdr:to>
    <xdr:sp macro="" textlink="">
      <xdr:nvSpPr>
        <xdr:cNvPr id="12" name="Text Box 1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114800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78</xdr:row>
      <xdr:rowOff>19050</xdr:rowOff>
    </xdr:from>
    <xdr:to>
      <xdr:col>8</xdr:col>
      <xdr:colOff>152400</xdr:colOff>
      <xdr:row>78</xdr:row>
      <xdr:rowOff>152400</xdr:rowOff>
    </xdr:to>
    <xdr:sp macro="" textlink="">
      <xdr:nvSpPr>
        <xdr:cNvPr id="13" name="Text Box 10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3243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Apprv</a:t>
          </a:r>
        </a:p>
      </xdr:txBody>
    </xdr:sp>
    <xdr:clientData/>
  </xdr:twoCellAnchor>
  <xdr:twoCellAnchor>
    <xdr:from>
      <xdr:col>8</xdr:col>
      <xdr:colOff>257175</xdr:colOff>
      <xdr:row>78</xdr:row>
      <xdr:rowOff>28575</xdr:rowOff>
    </xdr:from>
    <xdr:to>
      <xdr:col>8</xdr:col>
      <xdr:colOff>390525</xdr:colOff>
      <xdr:row>79</xdr:row>
      <xdr:rowOff>0</xdr:rowOff>
    </xdr:to>
    <xdr:sp macro="" textlink="">
      <xdr:nvSpPr>
        <xdr:cNvPr id="14" name="Text Box 10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019675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476250</xdr:colOff>
      <xdr:row>78</xdr:row>
      <xdr:rowOff>19050</xdr:rowOff>
    </xdr:from>
    <xdr:to>
      <xdr:col>9</xdr:col>
      <xdr:colOff>352425</xdr:colOff>
      <xdr:row>78</xdr:row>
      <xdr:rowOff>152400</xdr:rowOff>
    </xdr:to>
    <xdr:sp macro="" textlink="">
      <xdr:nvSpPr>
        <xdr:cNvPr id="15" name="Text Box 1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238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Test Rel</a:t>
          </a:r>
        </a:p>
      </xdr:txBody>
    </xdr:sp>
    <xdr:clientData/>
  </xdr:twoCellAnchor>
  <xdr:twoCellAnchor>
    <xdr:from>
      <xdr:col>9</xdr:col>
      <xdr:colOff>247650</xdr:colOff>
      <xdr:row>78</xdr:row>
      <xdr:rowOff>19050</xdr:rowOff>
    </xdr:from>
    <xdr:to>
      <xdr:col>9</xdr:col>
      <xdr:colOff>381000</xdr:colOff>
      <xdr:row>78</xdr:row>
      <xdr:rowOff>152400</xdr:rowOff>
    </xdr:to>
    <xdr:sp macro="" textlink="">
      <xdr:nvSpPr>
        <xdr:cNvPr id="16" name="Text Box 10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724525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466725</xdr:colOff>
      <xdr:row>78</xdr:row>
      <xdr:rowOff>28575</xdr:rowOff>
    </xdr:from>
    <xdr:to>
      <xdr:col>10</xdr:col>
      <xdr:colOff>447675</xdr:colOff>
      <xdr:row>79</xdr:row>
      <xdr:rowOff>0</xdr:rowOff>
    </xdr:to>
    <xdr:sp macro="" textlink="">
      <xdr:nvSpPr>
        <xdr:cNvPr id="17" name="Text Box 10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943600" y="10448925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Test ASN</a:t>
          </a:r>
        </a:p>
      </xdr:txBody>
    </xdr:sp>
    <xdr:clientData/>
  </xdr:twoCellAnchor>
  <xdr:twoCellAnchor>
    <xdr:from>
      <xdr:col>10</xdr:col>
      <xdr:colOff>419100</xdr:colOff>
      <xdr:row>78</xdr:row>
      <xdr:rowOff>28575</xdr:rowOff>
    </xdr:from>
    <xdr:to>
      <xdr:col>10</xdr:col>
      <xdr:colOff>552450</xdr:colOff>
      <xdr:row>79</xdr:row>
      <xdr:rowOff>0</xdr:rowOff>
    </xdr:to>
    <xdr:sp macro="" textlink="">
      <xdr:nvSpPr>
        <xdr:cNvPr id="18" name="Text Box 10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05575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47625</xdr:colOff>
      <xdr:row>78</xdr:row>
      <xdr:rowOff>19050</xdr:rowOff>
    </xdr:from>
    <xdr:to>
      <xdr:col>12</xdr:col>
      <xdr:colOff>28575</xdr:colOff>
      <xdr:row>78</xdr:row>
      <xdr:rowOff>152400</xdr:rowOff>
    </xdr:to>
    <xdr:sp macro="" textlink="">
      <xdr:nvSpPr>
        <xdr:cNvPr id="19" name="Text Box 1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Notify Plant</a:t>
          </a:r>
        </a:p>
      </xdr:txBody>
    </xdr:sp>
    <xdr:clientData/>
  </xdr:twoCellAnchor>
  <xdr:twoCellAnchor editAs="oneCell">
    <xdr:from>
      <xdr:col>8</xdr:col>
      <xdr:colOff>457200</xdr:colOff>
      <xdr:row>0</xdr:row>
      <xdr:rowOff>47625</xdr:rowOff>
    </xdr:from>
    <xdr:to>
      <xdr:col>11</xdr:col>
      <xdr:colOff>149303</xdr:colOff>
      <xdr:row>8</xdr:row>
      <xdr:rowOff>194976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47625"/>
          <a:ext cx="3028950" cy="1557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78</xdr:row>
      <xdr:rowOff>146050</xdr:rowOff>
    </xdr:from>
    <xdr:to>
      <xdr:col>17</xdr:col>
      <xdr:colOff>0</xdr:colOff>
      <xdr:row>100</xdr:row>
      <xdr:rowOff>44450</xdr:rowOff>
    </xdr:to>
    <xdr:pic>
      <xdr:nvPicPr>
        <xdr:cNvPr id="6" name="Group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9"/>
        <a:stretch>
          <a:fillRect/>
        </a:stretch>
      </xdr:blipFill>
      <xdr:spPr bwMode="auto">
        <a:xfrm>
          <a:off x="4921250" y="14693900"/>
          <a:ext cx="10274300" cy="394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16329</xdr:colOff>
      <xdr:row>0</xdr:row>
      <xdr:rowOff>27214</xdr:rowOff>
    </xdr:from>
    <xdr:to>
      <xdr:col>1</xdr:col>
      <xdr:colOff>214993</xdr:colOff>
      <xdr:row>0</xdr:row>
      <xdr:rowOff>244928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2" y="27214"/>
          <a:ext cx="217714" cy="21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ient.com/wp-content/uploads/2022/07/OpenText-BIZLINK-Certificate-p11oftp.tgms_.gxs_.com_Apr2023.zi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ndrei.1.bonce@adient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dinggrid.gxs.com/Tiger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O86"/>
  <sheetViews>
    <sheetView tabSelected="1" topLeftCell="C1" zoomScale="70" zoomScaleNormal="70" workbookViewId="0">
      <selection activeCell="D1" sqref="D1"/>
    </sheetView>
  </sheetViews>
  <sheetFormatPr defaultColWidth="9.140625" defaultRowHeight="15" x14ac:dyDescent="0.25"/>
  <cols>
    <col min="1" max="1" width="0.5703125" customWidth="1"/>
    <col min="2" max="2" width="2.5703125" customWidth="1"/>
    <col min="3" max="3" width="40.42578125" customWidth="1"/>
    <col min="4" max="4" width="16.85546875" customWidth="1"/>
    <col min="5" max="5" width="7.140625" customWidth="1"/>
    <col min="7" max="7" width="17.5703125" customWidth="1"/>
    <col min="8" max="8" width="21.5703125" customWidth="1"/>
    <col min="9" max="9" width="14.42578125" customWidth="1"/>
    <col min="11" max="11" width="26.85546875" bestFit="1" customWidth="1"/>
    <col min="13" max="13" width="15" customWidth="1"/>
    <col min="14" max="14" width="2.5703125" customWidth="1"/>
    <col min="242" max="242" width="2.5703125" customWidth="1"/>
    <col min="243" max="243" width="12.5703125" customWidth="1"/>
    <col min="245" max="245" width="10.42578125" bestFit="1" customWidth="1"/>
    <col min="249" max="249" width="10.5703125" customWidth="1"/>
    <col min="254" max="254" width="2.5703125" customWidth="1"/>
    <col min="498" max="498" width="2.5703125" customWidth="1"/>
    <col min="499" max="499" width="12.5703125" customWidth="1"/>
    <col min="501" max="501" width="10.42578125" bestFit="1" customWidth="1"/>
    <col min="505" max="505" width="10.5703125" customWidth="1"/>
    <col min="510" max="510" width="2.5703125" customWidth="1"/>
    <col min="754" max="754" width="2.5703125" customWidth="1"/>
    <col min="755" max="755" width="12.5703125" customWidth="1"/>
    <col min="757" max="757" width="10.42578125" bestFit="1" customWidth="1"/>
    <col min="761" max="761" width="10.5703125" customWidth="1"/>
    <col min="766" max="766" width="2.5703125" customWidth="1"/>
    <col min="1010" max="1010" width="2.5703125" customWidth="1"/>
    <col min="1011" max="1011" width="12.5703125" customWidth="1"/>
    <col min="1013" max="1013" width="10.42578125" bestFit="1" customWidth="1"/>
    <col min="1017" max="1017" width="10.5703125" customWidth="1"/>
    <col min="1022" max="1022" width="2.5703125" customWidth="1"/>
    <col min="1266" max="1266" width="2.5703125" customWidth="1"/>
    <col min="1267" max="1267" width="12.5703125" customWidth="1"/>
    <col min="1269" max="1269" width="10.42578125" bestFit="1" customWidth="1"/>
    <col min="1273" max="1273" width="10.5703125" customWidth="1"/>
    <col min="1278" max="1278" width="2.5703125" customWidth="1"/>
    <col min="1522" max="1522" width="2.5703125" customWidth="1"/>
    <col min="1523" max="1523" width="12.5703125" customWidth="1"/>
    <col min="1525" max="1525" width="10.42578125" bestFit="1" customWidth="1"/>
    <col min="1529" max="1529" width="10.5703125" customWidth="1"/>
    <col min="1534" max="1534" width="2.5703125" customWidth="1"/>
    <col min="1778" max="1778" width="2.5703125" customWidth="1"/>
    <col min="1779" max="1779" width="12.5703125" customWidth="1"/>
    <col min="1781" max="1781" width="10.42578125" bestFit="1" customWidth="1"/>
    <col min="1785" max="1785" width="10.5703125" customWidth="1"/>
    <col min="1790" max="1790" width="2.5703125" customWidth="1"/>
    <col min="2034" max="2034" width="2.5703125" customWidth="1"/>
    <col min="2035" max="2035" width="12.5703125" customWidth="1"/>
    <col min="2037" max="2037" width="10.42578125" bestFit="1" customWidth="1"/>
    <col min="2041" max="2041" width="10.5703125" customWidth="1"/>
    <col min="2046" max="2046" width="2.5703125" customWidth="1"/>
    <col min="2290" max="2290" width="2.5703125" customWidth="1"/>
    <col min="2291" max="2291" width="12.5703125" customWidth="1"/>
    <col min="2293" max="2293" width="10.42578125" bestFit="1" customWidth="1"/>
    <col min="2297" max="2297" width="10.5703125" customWidth="1"/>
    <col min="2302" max="2302" width="2.5703125" customWidth="1"/>
    <col min="2546" max="2546" width="2.5703125" customWidth="1"/>
    <col min="2547" max="2547" width="12.5703125" customWidth="1"/>
    <col min="2549" max="2549" width="10.42578125" bestFit="1" customWidth="1"/>
    <col min="2553" max="2553" width="10.5703125" customWidth="1"/>
    <col min="2558" max="2558" width="2.5703125" customWidth="1"/>
    <col min="2802" max="2802" width="2.5703125" customWidth="1"/>
    <col min="2803" max="2803" width="12.5703125" customWidth="1"/>
    <col min="2805" max="2805" width="10.42578125" bestFit="1" customWidth="1"/>
    <col min="2809" max="2809" width="10.5703125" customWidth="1"/>
    <col min="2814" max="2814" width="2.5703125" customWidth="1"/>
    <col min="3058" max="3058" width="2.5703125" customWidth="1"/>
    <col min="3059" max="3059" width="12.5703125" customWidth="1"/>
    <col min="3061" max="3061" width="10.42578125" bestFit="1" customWidth="1"/>
    <col min="3065" max="3065" width="10.5703125" customWidth="1"/>
    <col min="3070" max="3070" width="2.5703125" customWidth="1"/>
    <col min="3314" max="3314" width="2.5703125" customWidth="1"/>
    <col min="3315" max="3315" width="12.5703125" customWidth="1"/>
    <col min="3317" max="3317" width="10.42578125" bestFit="1" customWidth="1"/>
    <col min="3321" max="3321" width="10.5703125" customWidth="1"/>
    <col min="3326" max="3326" width="2.5703125" customWidth="1"/>
    <col min="3570" max="3570" width="2.5703125" customWidth="1"/>
    <col min="3571" max="3571" width="12.5703125" customWidth="1"/>
    <col min="3573" max="3573" width="10.42578125" bestFit="1" customWidth="1"/>
    <col min="3577" max="3577" width="10.5703125" customWidth="1"/>
    <col min="3582" max="3582" width="2.5703125" customWidth="1"/>
    <col min="3826" max="3826" width="2.5703125" customWidth="1"/>
    <col min="3827" max="3827" width="12.5703125" customWidth="1"/>
    <col min="3829" max="3829" width="10.42578125" bestFit="1" customWidth="1"/>
    <col min="3833" max="3833" width="10.5703125" customWidth="1"/>
    <col min="3838" max="3838" width="2.5703125" customWidth="1"/>
    <col min="4082" max="4082" width="2.5703125" customWidth="1"/>
    <col min="4083" max="4083" width="12.5703125" customWidth="1"/>
    <col min="4085" max="4085" width="10.42578125" bestFit="1" customWidth="1"/>
    <col min="4089" max="4089" width="10.5703125" customWidth="1"/>
    <col min="4094" max="4094" width="2.5703125" customWidth="1"/>
    <col min="4338" max="4338" width="2.5703125" customWidth="1"/>
    <col min="4339" max="4339" width="12.5703125" customWidth="1"/>
    <col min="4341" max="4341" width="10.42578125" bestFit="1" customWidth="1"/>
    <col min="4345" max="4345" width="10.5703125" customWidth="1"/>
    <col min="4350" max="4350" width="2.5703125" customWidth="1"/>
    <col min="4594" max="4594" width="2.5703125" customWidth="1"/>
    <col min="4595" max="4595" width="12.5703125" customWidth="1"/>
    <col min="4597" max="4597" width="10.42578125" bestFit="1" customWidth="1"/>
    <col min="4601" max="4601" width="10.5703125" customWidth="1"/>
    <col min="4606" max="4606" width="2.5703125" customWidth="1"/>
    <col min="4850" max="4850" width="2.5703125" customWidth="1"/>
    <col min="4851" max="4851" width="12.5703125" customWidth="1"/>
    <col min="4853" max="4853" width="10.42578125" bestFit="1" customWidth="1"/>
    <col min="4857" max="4857" width="10.5703125" customWidth="1"/>
    <col min="4862" max="4862" width="2.5703125" customWidth="1"/>
    <col min="5106" max="5106" width="2.5703125" customWidth="1"/>
    <col min="5107" max="5107" width="12.5703125" customWidth="1"/>
    <col min="5109" max="5109" width="10.42578125" bestFit="1" customWidth="1"/>
    <col min="5113" max="5113" width="10.5703125" customWidth="1"/>
    <col min="5118" max="5118" width="2.5703125" customWidth="1"/>
    <col min="5362" max="5362" width="2.5703125" customWidth="1"/>
    <col min="5363" max="5363" width="12.5703125" customWidth="1"/>
    <col min="5365" max="5365" width="10.42578125" bestFit="1" customWidth="1"/>
    <col min="5369" max="5369" width="10.5703125" customWidth="1"/>
    <col min="5374" max="5374" width="2.5703125" customWidth="1"/>
    <col min="5618" max="5618" width="2.5703125" customWidth="1"/>
    <col min="5619" max="5619" width="12.5703125" customWidth="1"/>
    <col min="5621" max="5621" width="10.42578125" bestFit="1" customWidth="1"/>
    <col min="5625" max="5625" width="10.5703125" customWidth="1"/>
    <col min="5630" max="5630" width="2.5703125" customWidth="1"/>
    <col min="5874" max="5874" width="2.5703125" customWidth="1"/>
    <col min="5875" max="5875" width="12.5703125" customWidth="1"/>
    <col min="5877" max="5877" width="10.42578125" bestFit="1" customWidth="1"/>
    <col min="5881" max="5881" width="10.5703125" customWidth="1"/>
    <col min="5886" max="5886" width="2.5703125" customWidth="1"/>
    <col min="6130" max="6130" width="2.5703125" customWidth="1"/>
    <col min="6131" max="6131" width="12.5703125" customWidth="1"/>
    <col min="6133" max="6133" width="10.42578125" bestFit="1" customWidth="1"/>
    <col min="6137" max="6137" width="10.5703125" customWidth="1"/>
    <col min="6142" max="6142" width="2.5703125" customWidth="1"/>
    <col min="6386" max="6386" width="2.5703125" customWidth="1"/>
    <col min="6387" max="6387" width="12.5703125" customWidth="1"/>
    <col min="6389" max="6389" width="10.42578125" bestFit="1" customWidth="1"/>
    <col min="6393" max="6393" width="10.5703125" customWidth="1"/>
    <col min="6398" max="6398" width="2.5703125" customWidth="1"/>
    <col min="6642" max="6642" width="2.5703125" customWidth="1"/>
    <col min="6643" max="6643" width="12.5703125" customWidth="1"/>
    <col min="6645" max="6645" width="10.42578125" bestFit="1" customWidth="1"/>
    <col min="6649" max="6649" width="10.5703125" customWidth="1"/>
    <col min="6654" max="6654" width="2.5703125" customWidth="1"/>
    <col min="6898" max="6898" width="2.5703125" customWidth="1"/>
    <col min="6899" max="6899" width="12.5703125" customWidth="1"/>
    <col min="6901" max="6901" width="10.42578125" bestFit="1" customWidth="1"/>
    <col min="6905" max="6905" width="10.5703125" customWidth="1"/>
    <col min="6910" max="6910" width="2.5703125" customWidth="1"/>
    <col min="7154" max="7154" width="2.5703125" customWidth="1"/>
    <col min="7155" max="7155" width="12.5703125" customWidth="1"/>
    <col min="7157" max="7157" width="10.42578125" bestFit="1" customWidth="1"/>
    <col min="7161" max="7161" width="10.5703125" customWidth="1"/>
    <col min="7166" max="7166" width="2.5703125" customWidth="1"/>
    <col min="7410" max="7410" width="2.5703125" customWidth="1"/>
    <col min="7411" max="7411" width="12.5703125" customWidth="1"/>
    <col min="7413" max="7413" width="10.42578125" bestFit="1" customWidth="1"/>
    <col min="7417" max="7417" width="10.5703125" customWidth="1"/>
    <col min="7422" max="7422" width="2.5703125" customWidth="1"/>
    <col min="7666" max="7666" width="2.5703125" customWidth="1"/>
    <col min="7667" max="7667" width="12.5703125" customWidth="1"/>
    <col min="7669" max="7669" width="10.42578125" bestFit="1" customWidth="1"/>
    <col min="7673" max="7673" width="10.5703125" customWidth="1"/>
    <col min="7678" max="7678" width="2.5703125" customWidth="1"/>
    <col min="7922" max="7922" width="2.5703125" customWidth="1"/>
    <col min="7923" max="7923" width="12.5703125" customWidth="1"/>
    <col min="7925" max="7925" width="10.42578125" bestFit="1" customWidth="1"/>
    <col min="7929" max="7929" width="10.5703125" customWidth="1"/>
    <col min="7934" max="7934" width="2.5703125" customWidth="1"/>
    <col min="8178" max="8178" width="2.5703125" customWidth="1"/>
    <col min="8179" max="8179" width="12.5703125" customWidth="1"/>
    <col min="8181" max="8181" width="10.42578125" bestFit="1" customWidth="1"/>
    <col min="8185" max="8185" width="10.5703125" customWidth="1"/>
    <col min="8190" max="8190" width="2.5703125" customWidth="1"/>
    <col min="8434" max="8434" width="2.5703125" customWidth="1"/>
    <col min="8435" max="8435" width="12.5703125" customWidth="1"/>
    <col min="8437" max="8437" width="10.42578125" bestFit="1" customWidth="1"/>
    <col min="8441" max="8441" width="10.5703125" customWidth="1"/>
    <col min="8446" max="8446" width="2.5703125" customWidth="1"/>
    <col min="8690" max="8690" width="2.5703125" customWidth="1"/>
    <col min="8691" max="8691" width="12.5703125" customWidth="1"/>
    <col min="8693" max="8693" width="10.42578125" bestFit="1" customWidth="1"/>
    <col min="8697" max="8697" width="10.5703125" customWidth="1"/>
    <col min="8702" max="8702" width="2.5703125" customWidth="1"/>
    <col min="8946" max="8946" width="2.5703125" customWidth="1"/>
    <col min="8947" max="8947" width="12.5703125" customWidth="1"/>
    <col min="8949" max="8949" width="10.42578125" bestFit="1" customWidth="1"/>
    <col min="8953" max="8953" width="10.5703125" customWidth="1"/>
    <col min="8958" max="8958" width="2.5703125" customWidth="1"/>
    <col min="9202" max="9202" width="2.5703125" customWidth="1"/>
    <col min="9203" max="9203" width="12.5703125" customWidth="1"/>
    <col min="9205" max="9205" width="10.42578125" bestFit="1" customWidth="1"/>
    <col min="9209" max="9209" width="10.5703125" customWidth="1"/>
    <col min="9214" max="9214" width="2.5703125" customWidth="1"/>
    <col min="9458" max="9458" width="2.5703125" customWidth="1"/>
    <col min="9459" max="9459" width="12.5703125" customWidth="1"/>
    <col min="9461" max="9461" width="10.42578125" bestFit="1" customWidth="1"/>
    <col min="9465" max="9465" width="10.5703125" customWidth="1"/>
    <col min="9470" max="9470" width="2.5703125" customWidth="1"/>
    <col min="9714" max="9714" width="2.5703125" customWidth="1"/>
    <col min="9715" max="9715" width="12.5703125" customWidth="1"/>
    <col min="9717" max="9717" width="10.42578125" bestFit="1" customWidth="1"/>
    <col min="9721" max="9721" width="10.5703125" customWidth="1"/>
    <col min="9726" max="9726" width="2.5703125" customWidth="1"/>
    <col min="9970" max="9970" width="2.5703125" customWidth="1"/>
    <col min="9971" max="9971" width="12.5703125" customWidth="1"/>
    <col min="9973" max="9973" width="10.42578125" bestFit="1" customWidth="1"/>
    <col min="9977" max="9977" width="10.5703125" customWidth="1"/>
    <col min="9982" max="9982" width="2.5703125" customWidth="1"/>
    <col min="10226" max="10226" width="2.5703125" customWidth="1"/>
    <col min="10227" max="10227" width="12.5703125" customWidth="1"/>
    <col min="10229" max="10229" width="10.42578125" bestFit="1" customWidth="1"/>
    <col min="10233" max="10233" width="10.5703125" customWidth="1"/>
    <col min="10238" max="10238" width="2.5703125" customWidth="1"/>
    <col min="10482" max="10482" width="2.5703125" customWidth="1"/>
    <col min="10483" max="10483" width="12.5703125" customWidth="1"/>
    <col min="10485" max="10485" width="10.42578125" bestFit="1" customWidth="1"/>
    <col min="10489" max="10489" width="10.5703125" customWidth="1"/>
    <col min="10494" max="10494" width="2.5703125" customWidth="1"/>
    <col min="10738" max="10738" width="2.5703125" customWidth="1"/>
    <col min="10739" max="10739" width="12.5703125" customWidth="1"/>
    <col min="10741" max="10741" width="10.42578125" bestFit="1" customWidth="1"/>
    <col min="10745" max="10745" width="10.5703125" customWidth="1"/>
    <col min="10750" max="10750" width="2.5703125" customWidth="1"/>
    <col min="10994" max="10994" width="2.5703125" customWidth="1"/>
    <col min="10995" max="10995" width="12.5703125" customWidth="1"/>
    <col min="10997" max="10997" width="10.42578125" bestFit="1" customWidth="1"/>
    <col min="11001" max="11001" width="10.5703125" customWidth="1"/>
    <col min="11006" max="11006" width="2.5703125" customWidth="1"/>
    <col min="11250" max="11250" width="2.5703125" customWidth="1"/>
    <col min="11251" max="11251" width="12.5703125" customWidth="1"/>
    <col min="11253" max="11253" width="10.42578125" bestFit="1" customWidth="1"/>
    <col min="11257" max="11257" width="10.5703125" customWidth="1"/>
    <col min="11262" max="11262" width="2.5703125" customWidth="1"/>
    <col min="11506" max="11506" width="2.5703125" customWidth="1"/>
    <col min="11507" max="11507" width="12.5703125" customWidth="1"/>
    <col min="11509" max="11509" width="10.42578125" bestFit="1" customWidth="1"/>
    <col min="11513" max="11513" width="10.5703125" customWidth="1"/>
    <col min="11518" max="11518" width="2.5703125" customWidth="1"/>
    <col min="11762" max="11762" width="2.5703125" customWidth="1"/>
    <col min="11763" max="11763" width="12.5703125" customWidth="1"/>
    <col min="11765" max="11765" width="10.42578125" bestFit="1" customWidth="1"/>
    <col min="11769" max="11769" width="10.5703125" customWidth="1"/>
    <col min="11774" max="11774" width="2.5703125" customWidth="1"/>
    <col min="12018" max="12018" width="2.5703125" customWidth="1"/>
    <col min="12019" max="12019" width="12.5703125" customWidth="1"/>
    <col min="12021" max="12021" width="10.42578125" bestFit="1" customWidth="1"/>
    <col min="12025" max="12025" width="10.5703125" customWidth="1"/>
    <col min="12030" max="12030" width="2.5703125" customWidth="1"/>
    <col min="12274" max="12274" width="2.5703125" customWidth="1"/>
    <col min="12275" max="12275" width="12.5703125" customWidth="1"/>
    <col min="12277" max="12277" width="10.42578125" bestFit="1" customWidth="1"/>
    <col min="12281" max="12281" width="10.5703125" customWidth="1"/>
    <col min="12286" max="12286" width="2.5703125" customWidth="1"/>
    <col min="12530" max="12530" width="2.5703125" customWidth="1"/>
    <col min="12531" max="12531" width="12.5703125" customWidth="1"/>
    <col min="12533" max="12533" width="10.42578125" bestFit="1" customWidth="1"/>
    <col min="12537" max="12537" width="10.5703125" customWidth="1"/>
    <col min="12542" max="12542" width="2.5703125" customWidth="1"/>
    <col min="12786" max="12786" width="2.5703125" customWidth="1"/>
    <col min="12787" max="12787" width="12.5703125" customWidth="1"/>
    <col min="12789" max="12789" width="10.42578125" bestFit="1" customWidth="1"/>
    <col min="12793" max="12793" width="10.5703125" customWidth="1"/>
    <col min="12798" max="12798" width="2.5703125" customWidth="1"/>
    <col min="13042" max="13042" width="2.5703125" customWidth="1"/>
    <col min="13043" max="13043" width="12.5703125" customWidth="1"/>
    <col min="13045" max="13045" width="10.42578125" bestFit="1" customWidth="1"/>
    <col min="13049" max="13049" width="10.5703125" customWidth="1"/>
    <col min="13054" max="13054" width="2.5703125" customWidth="1"/>
    <col min="13298" max="13298" width="2.5703125" customWidth="1"/>
    <col min="13299" max="13299" width="12.5703125" customWidth="1"/>
    <col min="13301" max="13301" width="10.42578125" bestFit="1" customWidth="1"/>
    <col min="13305" max="13305" width="10.5703125" customWidth="1"/>
    <col min="13310" max="13310" width="2.5703125" customWidth="1"/>
    <col min="13554" max="13554" width="2.5703125" customWidth="1"/>
    <col min="13555" max="13555" width="12.5703125" customWidth="1"/>
    <col min="13557" max="13557" width="10.42578125" bestFit="1" customWidth="1"/>
    <col min="13561" max="13561" width="10.5703125" customWidth="1"/>
    <col min="13566" max="13566" width="2.5703125" customWidth="1"/>
    <col min="13810" max="13810" width="2.5703125" customWidth="1"/>
    <col min="13811" max="13811" width="12.5703125" customWidth="1"/>
    <col min="13813" max="13813" width="10.42578125" bestFit="1" customWidth="1"/>
    <col min="13817" max="13817" width="10.5703125" customWidth="1"/>
    <col min="13822" max="13822" width="2.5703125" customWidth="1"/>
    <col min="14066" max="14066" width="2.5703125" customWidth="1"/>
    <col min="14067" max="14067" width="12.5703125" customWidth="1"/>
    <col min="14069" max="14069" width="10.42578125" bestFit="1" customWidth="1"/>
    <col min="14073" max="14073" width="10.5703125" customWidth="1"/>
    <col min="14078" max="14078" width="2.5703125" customWidth="1"/>
    <col min="14322" max="14322" width="2.5703125" customWidth="1"/>
    <col min="14323" max="14323" width="12.5703125" customWidth="1"/>
    <col min="14325" max="14325" width="10.42578125" bestFit="1" customWidth="1"/>
    <col min="14329" max="14329" width="10.5703125" customWidth="1"/>
    <col min="14334" max="14334" width="2.5703125" customWidth="1"/>
    <col min="14578" max="14578" width="2.5703125" customWidth="1"/>
    <col min="14579" max="14579" width="12.5703125" customWidth="1"/>
    <col min="14581" max="14581" width="10.42578125" bestFit="1" customWidth="1"/>
    <col min="14585" max="14585" width="10.5703125" customWidth="1"/>
    <col min="14590" max="14590" width="2.5703125" customWidth="1"/>
    <col min="14834" max="14834" width="2.5703125" customWidth="1"/>
    <col min="14835" max="14835" width="12.5703125" customWidth="1"/>
    <col min="14837" max="14837" width="10.42578125" bestFit="1" customWidth="1"/>
    <col min="14841" max="14841" width="10.5703125" customWidth="1"/>
    <col min="14846" max="14846" width="2.5703125" customWidth="1"/>
    <col min="15090" max="15090" width="2.5703125" customWidth="1"/>
    <col min="15091" max="15091" width="12.5703125" customWidth="1"/>
    <col min="15093" max="15093" width="10.42578125" bestFit="1" customWidth="1"/>
    <col min="15097" max="15097" width="10.5703125" customWidth="1"/>
    <col min="15102" max="15102" width="2.5703125" customWidth="1"/>
    <col min="15346" max="15346" width="2.5703125" customWidth="1"/>
    <col min="15347" max="15347" width="12.5703125" customWidth="1"/>
    <col min="15349" max="15349" width="10.42578125" bestFit="1" customWidth="1"/>
    <col min="15353" max="15353" width="10.5703125" customWidth="1"/>
    <col min="15358" max="15358" width="2.5703125" customWidth="1"/>
    <col min="15602" max="15602" width="2.5703125" customWidth="1"/>
    <col min="15603" max="15603" width="12.5703125" customWidth="1"/>
    <col min="15605" max="15605" width="10.42578125" bestFit="1" customWidth="1"/>
    <col min="15609" max="15609" width="10.5703125" customWidth="1"/>
    <col min="15614" max="15614" width="2.5703125" customWidth="1"/>
    <col min="15858" max="15858" width="2.5703125" customWidth="1"/>
    <col min="15859" max="15859" width="12.5703125" customWidth="1"/>
    <col min="15861" max="15861" width="10.42578125" bestFit="1" customWidth="1"/>
    <col min="15865" max="15865" width="10.5703125" customWidth="1"/>
    <col min="15870" max="15870" width="2.5703125" customWidth="1"/>
    <col min="16114" max="16114" width="2.5703125" customWidth="1"/>
    <col min="16115" max="16115" width="12.5703125" customWidth="1"/>
    <col min="16117" max="16117" width="10.42578125" bestFit="1" customWidth="1"/>
    <col min="16121" max="16121" width="10.5703125" customWidth="1"/>
    <col min="16126" max="16126" width="2.5703125" customWidth="1"/>
  </cols>
  <sheetData>
    <row r="1" spans="2:14" ht="15.75" thickBot="1" x14ac:dyDescent="0.3"/>
    <row r="2" spans="2:14" ht="12.75" customHeight="1" x14ac:dyDescent="0.25">
      <c r="B2" s="18"/>
      <c r="C2" s="19"/>
      <c r="D2" s="19"/>
      <c r="E2" s="19"/>
      <c r="F2" s="19"/>
      <c r="G2" s="19"/>
      <c r="H2" s="19"/>
      <c r="I2" s="19"/>
      <c r="J2" s="117"/>
      <c r="K2" s="117"/>
      <c r="L2" s="117"/>
      <c r="M2" s="117"/>
      <c r="N2" s="118"/>
    </row>
    <row r="3" spans="2:14" ht="12.75" customHeight="1" x14ac:dyDescent="0.25">
      <c r="B3" s="12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9"/>
    </row>
    <row r="4" spans="2:14" ht="12.75" customHeight="1" x14ac:dyDescent="0.25">
      <c r="B4" s="12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9"/>
    </row>
    <row r="5" spans="2:14" ht="12.75" customHeight="1" x14ac:dyDescent="0.25">
      <c r="B5" s="12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9"/>
    </row>
    <row r="6" spans="2:14" ht="12.75" customHeight="1" x14ac:dyDescent="0.25">
      <c r="B6" s="12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9"/>
    </row>
    <row r="7" spans="2:14" x14ac:dyDescent="0.25">
      <c r="B7" s="1"/>
      <c r="C7" t="s">
        <v>0</v>
      </c>
      <c r="D7" s="103">
        <f ca="1">TODAY()</f>
        <v>46181</v>
      </c>
      <c r="J7" s="113"/>
      <c r="K7" s="113"/>
      <c r="L7" s="113"/>
      <c r="M7" s="113"/>
      <c r="N7" s="119"/>
    </row>
    <row r="8" spans="2:14" ht="15.75" thickBot="1" x14ac:dyDescent="0.3">
      <c r="B8" s="1"/>
      <c r="J8" s="120"/>
      <c r="K8" s="120"/>
      <c r="L8" s="120"/>
      <c r="M8" s="120"/>
      <c r="N8" s="121"/>
    </row>
    <row r="9" spans="2:14" ht="20.100000000000001" customHeight="1" thickBot="1" x14ac:dyDescent="0.3"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2:14" x14ac:dyDescent="0.25">
      <c r="B10" s="1"/>
      <c r="C10" t="s">
        <v>2</v>
      </c>
      <c r="N10" s="24"/>
    </row>
    <row r="11" spans="2:14" x14ac:dyDescent="0.25">
      <c r="B11" s="1"/>
      <c r="C11" s="25"/>
      <c r="D11" s="25"/>
      <c r="F11" s="25"/>
      <c r="H11" s="25"/>
      <c r="N11" s="24"/>
    </row>
    <row r="12" spans="2:14" ht="15.75" thickBot="1" x14ac:dyDescent="0.3">
      <c r="B12" s="1"/>
      <c r="C12" s="26" t="s">
        <v>3</v>
      </c>
      <c r="D12" s="123"/>
      <c r="E12" s="123"/>
      <c r="F12" s="123"/>
      <c r="G12" s="123"/>
      <c r="I12" s="74" t="str">
        <f>IF(D12="Intercompany","Customer Plant:","Plant:")</f>
        <v>Plant:</v>
      </c>
      <c r="J12" s="125" t="s">
        <v>4</v>
      </c>
      <c r="K12" s="125"/>
      <c r="L12" t="str">
        <f>VLOOKUP(J12,'Plant Listing'!$B:$C,2,FALSE)</f>
        <v>Plant ID</v>
      </c>
      <c r="M12" t="str">
        <f>VLOOKUP(J12,'Plant Listing'!$B:$I,8,FALSE)</f>
        <v>Region</v>
      </c>
      <c r="N12" s="24"/>
    </row>
    <row r="13" spans="2:14" ht="16.350000000000001" customHeight="1" thickTop="1" thickBot="1" x14ac:dyDescent="0.3">
      <c r="B13" s="1"/>
      <c r="C13" s="26" t="str">
        <f>IF(D12="Supplier","Adient Vendor Name:",IF(D12="Customer","Adient Customer Name:","Supplier Plant:"))</f>
        <v>Supplier Plant:</v>
      </c>
      <c r="D13" s="123"/>
      <c r="E13" s="123"/>
      <c r="F13" s="123"/>
      <c r="G13" s="123"/>
      <c r="I13" s="26" t="s">
        <v>5</v>
      </c>
      <c r="J13" s="125" t="str">
        <f>IF($L$12="Plant Id"," ",IF(ISBLANK(VLOOKUP($L$12,'Plant Listing'!C:N,12,FALSE))," ",VLOOKUP($L$12,'Plant Listing'!C:N,12,FALSE)))</f>
        <v xml:space="preserve"> </v>
      </c>
      <c r="K13" s="125"/>
      <c r="L13" s="125"/>
      <c r="M13" s="125"/>
      <c r="N13" s="24"/>
    </row>
    <row r="14" spans="2:14" ht="16.350000000000001" customHeight="1" thickTop="1" thickBot="1" x14ac:dyDescent="0.3">
      <c r="B14" s="1"/>
      <c r="C14" s="26" t="str">
        <f>IF(D12="Supplier","Adient Vendor #:",IF(D12="Customer","Customer #:","Supplier Plant #:"))</f>
        <v>Supplier Plant #:</v>
      </c>
      <c r="D14" s="124"/>
      <c r="E14" s="124"/>
      <c r="F14" s="124"/>
      <c r="G14" s="124"/>
      <c r="I14" s="74" t="s">
        <v>6</v>
      </c>
      <c r="J14" s="125" t="str">
        <f>IF($L$12="Plant Id"," ",IF(ISBLANK(VLOOKUP($L$12,'Plant Listing'!C:O,13,FALSE))," ",VLOOKUP($L$12,'Plant Listing'!C:O,13,FALSE)))</f>
        <v xml:space="preserve"> </v>
      </c>
      <c r="K14" s="125"/>
      <c r="L14" s="125"/>
      <c r="M14" s="125"/>
      <c r="N14" s="24"/>
    </row>
    <row r="15" spans="2:14" ht="16.350000000000001" customHeight="1" thickTop="1" thickBot="1" x14ac:dyDescent="0.3">
      <c r="B15" s="1"/>
      <c r="C15" s="26"/>
      <c r="D15" s="113"/>
      <c r="E15" s="113"/>
      <c r="F15" s="113"/>
      <c r="G15" s="113"/>
      <c r="I15" s="74" t="s">
        <v>7</v>
      </c>
      <c r="J15" s="125" t="str">
        <f>IF($L$12="Plant Id"," ",IF(ISBLANK(VLOOKUP($L$12,'Plant Listing'!C:P,14,FALSE))," ",VLOOKUP($L$12,'Plant Listing'!C:P,14,FALSE)))</f>
        <v xml:space="preserve"> </v>
      </c>
      <c r="K15" s="125"/>
      <c r="L15" s="125"/>
      <c r="M15" s="125"/>
      <c r="N15" s="24"/>
    </row>
    <row r="16" spans="2:14" ht="15" customHeight="1" thickTop="1" x14ac:dyDescent="0.25">
      <c r="B16" s="1"/>
      <c r="C16" s="32"/>
      <c r="D16" s="126"/>
      <c r="E16" s="126"/>
      <c r="F16" s="127"/>
      <c r="G16" s="127"/>
      <c r="N16" s="24"/>
    </row>
    <row r="17" spans="2:14" ht="20.100000000000001" customHeight="1" x14ac:dyDescent="0.25">
      <c r="B17" s="28"/>
      <c r="C17" s="29" t="str">
        <f>IF(D12="Supplier","Vendor Address:",IF(D12="Customer","Customer Address:","Address:"))</f>
        <v>Address:</v>
      </c>
      <c r="G17" s="30"/>
      <c r="H17" s="30"/>
      <c r="I17" s="29" t="s">
        <v>8</v>
      </c>
      <c r="J17" s="30"/>
      <c r="K17" s="30"/>
      <c r="L17" s="30"/>
      <c r="M17" s="30"/>
      <c r="N17" s="31"/>
    </row>
    <row r="18" spans="2:14" ht="16.350000000000001" customHeight="1" x14ac:dyDescent="0.25">
      <c r="B18" s="1"/>
      <c r="C18" s="115"/>
      <c r="D18" s="115"/>
      <c r="E18" s="115"/>
      <c r="F18" s="115"/>
      <c r="G18" s="115"/>
      <c r="I18" s="2"/>
      <c r="J18" s="2"/>
      <c r="K18" s="2"/>
      <c r="L18" s="2"/>
      <c r="M18" s="2"/>
      <c r="N18" s="24"/>
    </row>
    <row r="19" spans="2:14" ht="16.350000000000001" customHeight="1" x14ac:dyDescent="0.25">
      <c r="B19" s="1"/>
      <c r="C19" s="130"/>
      <c r="D19" s="130"/>
      <c r="E19" s="130"/>
      <c r="F19" s="130"/>
      <c r="G19" s="130"/>
      <c r="I19" s="2"/>
      <c r="J19" s="2"/>
      <c r="K19" s="2"/>
      <c r="L19" s="2"/>
      <c r="M19" s="2"/>
      <c r="N19" s="24"/>
    </row>
    <row r="20" spans="2:14" ht="16.350000000000001" customHeight="1" x14ac:dyDescent="0.25">
      <c r="B20" s="1"/>
      <c r="C20" s="130"/>
      <c r="D20" s="130"/>
      <c r="E20" s="130"/>
      <c r="F20" s="130"/>
      <c r="G20" s="130"/>
      <c r="I20" s="2"/>
      <c r="J20" s="2"/>
      <c r="K20" s="2"/>
      <c r="L20" s="2"/>
      <c r="M20" s="2"/>
      <c r="N20" s="24"/>
    </row>
    <row r="21" spans="2:14" ht="16.350000000000001" customHeight="1" x14ac:dyDescent="0.25">
      <c r="B21" s="1"/>
      <c r="C21" s="130"/>
      <c r="D21" s="130"/>
      <c r="E21" s="130"/>
      <c r="F21" s="130"/>
      <c r="G21" s="130"/>
      <c r="I21" s="2"/>
      <c r="J21" s="2"/>
      <c r="K21" s="2"/>
      <c r="L21" s="2"/>
      <c r="M21" s="2"/>
      <c r="N21" s="24"/>
    </row>
    <row r="22" spans="2:14" ht="15.75" thickBot="1" x14ac:dyDescent="0.3"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4"/>
    </row>
    <row r="23" spans="2:14" ht="20.100000000000001" customHeight="1" thickBot="1" x14ac:dyDescent="0.3">
      <c r="B23" s="20"/>
      <c r="C23" s="21" t="s">
        <v>9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2:14" ht="16.350000000000001" customHeight="1" x14ac:dyDescent="0.25">
      <c r="B24" s="1"/>
      <c r="C24" s="26"/>
      <c r="D24" s="4"/>
      <c r="E24" s="4"/>
      <c r="F24" s="4"/>
      <c r="G24" s="4"/>
      <c r="I24" s="32"/>
      <c r="J24" s="26"/>
      <c r="K24" s="4"/>
      <c r="L24" s="4"/>
      <c r="M24" s="4"/>
      <c r="N24" s="24"/>
    </row>
    <row r="25" spans="2:14" ht="16.350000000000001" customHeight="1" x14ac:dyDescent="0.25">
      <c r="B25" s="1"/>
      <c r="C25" s="26"/>
      <c r="D25" s="49" t="s">
        <v>10</v>
      </c>
      <c r="E25" s="4"/>
      <c r="F25" s="4"/>
      <c r="G25" s="4"/>
      <c r="I25" s="32" t="s">
        <v>12</v>
      </c>
      <c r="J25" s="26"/>
      <c r="K25" s="32"/>
      <c r="L25" s="4"/>
      <c r="M25" s="4"/>
      <c r="N25" s="24"/>
    </row>
    <row r="26" spans="2:14" ht="16.350000000000001" customHeight="1" x14ac:dyDescent="0.25">
      <c r="B26" s="1"/>
      <c r="C26" s="32" t="s">
        <v>10</v>
      </c>
      <c r="D26" s="32" t="s">
        <v>11</v>
      </c>
      <c r="F26" s="32"/>
      <c r="K26" s="32"/>
      <c r="L26" s="32"/>
      <c r="N26" s="24"/>
    </row>
    <row r="27" spans="2:14" ht="16.350000000000001" customHeight="1" x14ac:dyDescent="0.25">
      <c r="B27" s="1"/>
      <c r="C27" s="47"/>
      <c r="D27" s="47" t="s">
        <v>14</v>
      </c>
      <c r="I27" s="47" t="s">
        <v>15</v>
      </c>
      <c r="K27" s="32" t="str">
        <f>IF('Adient EDI Form'!$K$29="","Format not avaiable for Plant selected","")</f>
        <v/>
      </c>
      <c r="L27" s="32"/>
      <c r="M27" s="49"/>
      <c r="N27" s="24"/>
    </row>
    <row r="28" spans="2:14" ht="16.350000000000001" customHeight="1" x14ac:dyDescent="0.25">
      <c r="B28" s="1"/>
      <c r="C28" s="32" t="str">
        <f>IF($C$27 = " Change of EDI connection","Old "&amp;$C$14," ")</f>
        <v xml:space="preserve"> </v>
      </c>
      <c r="D28" s="4"/>
      <c r="N28" s="24"/>
    </row>
    <row r="29" spans="2:14" x14ac:dyDescent="0.25">
      <c r="B29" s="1"/>
      <c r="C29" s="32" t="str">
        <f>IF(ISBLANK(VLOOKUP($D$27,COMM!$B:$V,2)), " ",VLOOKUP($D$27,COMM!$B:$V,2))</f>
        <v xml:space="preserve"> </v>
      </c>
      <c r="D29" s="113" t="str">
        <f>IF(ISBLANK(VLOOKUP($D$27,COMM!$B:$V,3)), " ",VLOOKUP($D$27,COMM!B:Z,3))</f>
        <v xml:space="preserve"> </v>
      </c>
      <c r="E29" s="113"/>
      <c r="F29" s="113"/>
      <c r="G29" s="113"/>
      <c r="I29" s="133" t="str">
        <f>IF(ISBLANK(VLOOKUP($I$27,Format!$A:$V,2,FALSE)), " ",VLOOKUP($I$27,Format!$A:$V,2,FALSE))</f>
        <v xml:space="preserve"> </v>
      </c>
      <c r="J29" s="133"/>
      <c r="K29" t="str">
        <f>IF(ISBLANK(VLOOKUP($I$27,Format!$A:$V,3,FALSE)), " ",VLOOKUP($I$27,Format!$A:$V,3,FALSE))</f>
        <v xml:space="preserve"> </v>
      </c>
      <c r="N29" s="24"/>
    </row>
    <row r="30" spans="2:14" ht="16.350000000000001" customHeight="1" x14ac:dyDescent="0.25">
      <c r="B30" s="1"/>
      <c r="C30" s="32" t="str">
        <f>IF(ISBLANK(VLOOKUP($D$27,COMM!$B:$V,4)), " ",VLOOKUP($D$27,COMM!$B:$V,4))</f>
        <v xml:space="preserve"> </v>
      </c>
      <c r="D30" s="113" t="str">
        <f>IF(ISBLANK(VLOOKUP($D$27,COMM!$B:$V,5)), " ",VLOOKUP($D$27,COMM!$B:$V,5))</f>
        <v xml:space="preserve"> </v>
      </c>
      <c r="E30" s="113"/>
      <c r="F30" s="113"/>
      <c r="G30" s="113"/>
      <c r="I30" s="133" t="str">
        <f>IF(ISBLANK(VLOOKUP($I$27,Format!$A:$V,4,FALSE)), " ",VLOOKUP($I$27,Format!$A:$V,4,FALSE))</f>
        <v xml:space="preserve"> </v>
      </c>
      <c r="J30" s="133"/>
      <c r="K30" t="str">
        <f>IF(ISBLANK(VLOOKUP($I$27,Format!$A:$V,5,FALSE)), " ",VLOOKUP($I$27,Format!$A:$V,5,FALSE))</f>
        <v xml:space="preserve"> </v>
      </c>
      <c r="N30" s="24"/>
    </row>
    <row r="31" spans="2:14" ht="20.100000000000001" customHeight="1" x14ac:dyDescent="0.25">
      <c r="B31" s="1"/>
      <c r="C31" s="32" t="str">
        <f>IF(ISBLANK(VLOOKUP($D$27,COMM!$B:$V,6)), " ",VLOOKUP($D$27,COMM!$B:$V,6))</f>
        <v xml:space="preserve"> </v>
      </c>
      <c r="D31" s="113" t="str">
        <f>IF(ISBLANK(VLOOKUP($D$27,COMM!$B:$V,7)), " ",VLOOKUP($D$27,COMM!$B:$V,7))</f>
        <v xml:space="preserve"> </v>
      </c>
      <c r="E31" s="113"/>
      <c r="F31" s="113"/>
      <c r="G31" s="113"/>
      <c r="I31" s="133" t="str">
        <f>IF(ISBLANK(VLOOKUP($I$27,Format!$A:$V,6,FALSE)), " ",VLOOKUP($I$27,Format!$A:$V,6,FALSE))</f>
        <v xml:space="preserve"> </v>
      </c>
      <c r="J31" s="133"/>
      <c r="K31" t="str">
        <f>IF(ISBLANK(VLOOKUP($I$27,Format!$A:$V,7,FALSE)), " ",VLOOKUP($I$27,Format!$A:$V,7,FALSE))</f>
        <v xml:space="preserve"> </v>
      </c>
      <c r="N31" s="24"/>
    </row>
    <row r="32" spans="2:14" ht="16.350000000000001" customHeight="1" x14ac:dyDescent="0.25">
      <c r="B32" s="1"/>
      <c r="C32" s="32" t="str">
        <f>IF(ISBLANK(VLOOKUP($D$27,COMM!$B:$V,8)), " ",VLOOKUP($D$27,COMM!$B:$V,8))</f>
        <v xml:space="preserve"> </v>
      </c>
      <c r="D32" s="113" t="str">
        <f>IF(ISBLANK(VLOOKUP($D$27,COMM!$B:$V,9)), " ",VLOOKUP($D$27,COMM!$B:$V,9))</f>
        <v xml:space="preserve"> </v>
      </c>
      <c r="E32" s="113"/>
      <c r="F32" s="113"/>
      <c r="G32" s="113"/>
      <c r="I32" s="133" t="str">
        <f>IF(ISBLANK(VLOOKUP($I$27,Format!$A:$V,8,FALSE)), " ",VLOOKUP($I$27,Format!$A:$V,8,FALSE))</f>
        <v xml:space="preserve"> </v>
      </c>
      <c r="J32" s="133"/>
      <c r="K32" t="str">
        <f>IF(ISBLANK(VLOOKUP($I$27,Format!$A:$V,9,FALSE)), " ",VLOOKUP($I$27,Format!$A:$V,9,FALSE))</f>
        <v xml:space="preserve"> </v>
      </c>
      <c r="N32" s="24"/>
    </row>
    <row r="33" spans="2:15" ht="16.350000000000001" customHeight="1" x14ac:dyDescent="0.25">
      <c r="B33" s="1"/>
      <c r="C33" s="32" t="str">
        <f>IF(ISBLANK(VLOOKUP($D$27,COMM!$B:$V,10)), " ",VLOOKUP($D$27,COMM!$B:$V,10))</f>
        <v xml:space="preserve"> </v>
      </c>
      <c r="D33" s="113" t="str">
        <f>IF(ISBLANK(VLOOKUP($D$27,COMM!$B:$V,11)), " ",VLOOKUP($D$27,COMM!$B:$V,11))</f>
        <v xml:space="preserve"> </v>
      </c>
      <c r="E33" s="113"/>
      <c r="F33" s="113"/>
      <c r="G33" s="113"/>
      <c r="I33" s="113" t="str">
        <f>IF(ISBLANK(VLOOKUP($I$27,Format!$A:$V,10,FALSE)), " ",VLOOKUP($I$27,Format!$A:$V,10,FALSE))</f>
        <v xml:space="preserve"> </v>
      </c>
      <c r="J33" s="113"/>
      <c r="K33" t="str">
        <f>IF(ISBLANK(VLOOKUP($I$27,Format!$A:$V,11,FALSE)), " ",VLOOKUP($I$27,Format!$A:$V,11,FALSE))</f>
        <v xml:space="preserve"> </v>
      </c>
      <c r="N33" s="24"/>
    </row>
    <row r="34" spans="2:15" ht="14.45" customHeight="1" x14ac:dyDescent="0.25">
      <c r="B34" s="1"/>
      <c r="C34" s="32" t="str">
        <f>IF(ISBLANK(VLOOKUP($D$27,COMM!$B:$V,12)), " ",VLOOKUP($D$27,COMM!$B:$V,12))</f>
        <v xml:space="preserve"> </v>
      </c>
      <c r="D34" t="str">
        <f>IF(ISBLANK(VLOOKUP($D$27,COMM!$B:$V,13)), " ",VLOOKUP($D$27,COMM!$B:$V,13))</f>
        <v xml:space="preserve"> </v>
      </c>
      <c r="I34" s="113" t="str">
        <f>IF(ISBLANK(VLOOKUP($I$27,Format!$A:$V,12,FALSE)), " ",VLOOKUP($I$27,Format!$A:$V,12,FALSE))</f>
        <v xml:space="preserve"> </v>
      </c>
      <c r="J34" s="113"/>
      <c r="K34" t="str">
        <f>IF(ISBLANK(VLOOKUP($I$27,Format!$A:$V,13,FALSE)), " ",VLOOKUP($I$27,Format!$A:$V,13,FALSE))</f>
        <v xml:space="preserve"> </v>
      </c>
      <c r="N34" s="24"/>
    </row>
    <row r="35" spans="2:15" ht="16.350000000000001" customHeight="1" x14ac:dyDescent="0.25">
      <c r="B35" s="1"/>
      <c r="C35" s="32" t="str">
        <f>IF(ISBLANK(VLOOKUP($D$27,COMM!$B:$V,14)), " ",VLOOKUP($D$27,COMM!$B:$V,14))</f>
        <v xml:space="preserve"> </v>
      </c>
      <c r="D35" t="str">
        <f>IF(ISBLANK(VLOOKUP($D$27,COMM!$B:$V,15)), " ",VLOOKUP($D$27,COMM!$B:$V,15))</f>
        <v xml:space="preserve"> </v>
      </c>
      <c r="I35" s="113" t="str">
        <f>IF(ISBLANK(VLOOKUP($I$27,Format!$A:$V,14,FALSE)), " ",VLOOKUP($I$27,Format!$A:$V,14,FALSE))</f>
        <v xml:space="preserve"> </v>
      </c>
      <c r="J35" s="113"/>
      <c r="K35" t="str">
        <f>IF(ISBLANK(VLOOKUP($I$27,Format!$A:$V,15,FALSE)), " ",VLOOKUP($I$27,Format!$A:$V,15,FALSE))</f>
        <v xml:space="preserve"> </v>
      </c>
      <c r="N35" s="24"/>
    </row>
    <row r="36" spans="2:15" x14ac:dyDescent="0.25">
      <c r="B36" s="1"/>
      <c r="C36" s="32" t="str">
        <f>IF(ISBLANK(VLOOKUP($D$27,COMM!$B:$V,16)), " ",VLOOKUP($D$27,COMM!$B:$V,16))</f>
        <v xml:space="preserve"> </v>
      </c>
      <c r="D36" s="137" t="str">
        <f>IF(ISBLANK(VLOOKUP($D$27,COMM!$B:$V,17)), " ",VLOOKUP($D$27,COMM!$B:$V,17))</f>
        <v xml:space="preserve"> </v>
      </c>
      <c r="E36" s="137"/>
      <c r="F36" s="137"/>
      <c r="G36" s="137"/>
      <c r="H36" s="137"/>
      <c r="I36" s="137"/>
      <c r="J36" s="137"/>
      <c r="K36" s="137"/>
      <c r="N36" s="24"/>
    </row>
    <row r="37" spans="2:15" x14ac:dyDescent="0.25">
      <c r="B37" s="1"/>
      <c r="C37" s="32"/>
      <c r="D37" s="113"/>
      <c r="E37" s="113"/>
      <c r="F37" s="113"/>
      <c r="G37" s="113"/>
      <c r="I37" s="113" t="str">
        <f>IF(ISBLANK(VLOOKUP($I$27,Format!$A:$V,18)), " ",VLOOKUP($I$27,Format!$A:$V,18))</f>
        <v xml:space="preserve"> </v>
      </c>
      <c r="J37" s="113"/>
      <c r="K37" t="str">
        <f>IF(ISBLANK(VLOOKUP($I$27,Format!$A:$V,19)), " ",VLOOKUP($I$27,Format!$A:$V,19))</f>
        <v xml:space="preserve"> </v>
      </c>
      <c r="N37" s="24"/>
    </row>
    <row r="38" spans="2:15" x14ac:dyDescent="0.25">
      <c r="B38" s="1"/>
      <c r="C38" s="32"/>
      <c r="D38" s="113"/>
      <c r="E38" s="113"/>
      <c r="F38" s="113"/>
      <c r="G38" s="113"/>
      <c r="I38" s="113" t="str">
        <f>IF(ISBLANK(VLOOKUP($I$27,Format!$A:$V,20)), " ",VLOOKUP($I$27,Format!$A:$V,20))</f>
        <v xml:space="preserve"> </v>
      </c>
      <c r="J38" s="113"/>
      <c r="K38" t="str">
        <f>IF(ISBLANK(VLOOKUP($I$27,Format!$A:$V,21)), " ",VLOOKUP($I$27,Format!$A:$V,21))</f>
        <v xml:space="preserve"> </v>
      </c>
      <c r="N38" s="24"/>
    </row>
    <row r="39" spans="2:15" ht="15.75" thickBo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2:15" ht="20.100000000000001" customHeight="1" thickBot="1" x14ac:dyDescent="0.3">
      <c r="B40" s="20"/>
      <c r="C40" s="21" t="s">
        <v>16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2:15" ht="20.100000000000001" customHeight="1" x14ac:dyDescent="0.25">
      <c r="B41" s="1"/>
      <c r="C41" s="36"/>
      <c r="D41" s="32" t="s">
        <v>17</v>
      </c>
      <c r="E41" s="32"/>
      <c r="F41" s="32"/>
      <c r="G41" s="32"/>
      <c r="H41" s="32"/>
      <c r="I41" s="32"/>
      <c r="J41" s="32"/>
      <c r="N41" s="24"/>
    </row>
    <row r="42" spans="2:15" ht="20.100000000000001" customHeight="1" x14ac:dyDescent="0.25">
      <c r="B42" s="1"/>
      <c r="C42" s="37"/>
      <c r="E42" s="32"/>
      <c r="G42" s="32"/>
      <c r="H42" s="32"/>
      <c r="I42" s="32"/>
      <c r="J42" s="32"/>
      <c r="K42" s="32"/>
      <c r="L42" s="32"/>
      <c r="M42" s="32"/>
      <c r="N42" s="38"/>
    </row>
    <row r="43" spans="2:15" ht="20.100000000000001" customHeight="1" x14ac:dyDescent="0.25">
      <c r="B43" s="1"/>
      <c r="C43" s="26" t="s">
        <v>18</v>
      </c>
      <c r="D43" s="115"/>
      <c r="E43" s="115"/>
      <c r="F43" s="115"/>
      <c r="G43" s="115"/>
      <c r="J43" s="26" t="s">
        <v>19</v>
      </c>
      <c r="K43" s="116"/>
      <c r="L43" s="134"/>
      <c r="M43" s="134"/>
      <c r="N43" s="24"/>
      <c r="O43" s="1"/>
    </row>
    <row r="44" spans="2:15" ht="16.350000000000001" customHeight="1" x14ac:dyDescent="0.25">
      <c r="B44" s="1"/>
      <c r="C44" s="26" t="s">
        <v>7</v>
      </c>
      <c r="D44" s="130"/>
      <c r="E44" s="130"/>
      <c r="F44" s="130"/>
      <c r="G44" s="130"/>
      <c r="J44" s="26" t="s">
        <v>7</v>
      </c>
      <c r="K44" s="116"/>
      <c r="L44" s="134"/>
      <c r="M44" s="134"/>
      <c r="N44" s="24"/>
      <c r="O44" s="1"/>
    </row>
    <row r="45" spans="2:15" ht="16.350000000000001" customHeight="1" x14ac:dyDescent="0.25">
      <c r="B45" s="1"/>
      <c r="C45" s="26" t="s">
        <v>20</v>
      </c>
      <c r="D45" s="131"/>
      <c r="E45" s="131"/>
      <c r="F45" s="131"/>
      <c r="G45" s="131"/>
      <c r="J45" s="26" t="s">
        <v>20</v>
      </c>
      <c r="K45" s="116"/>
      <c r="L45" s="134"/>
      <c r="M45" s="134"/>
      <c r="N45" s="24"/>
      <c r="O45" s="1"/>
    </row>
    <row r="46" spans="2:15" ht="16.350000000000001" customHeight="1" x14ac:dyDescent="0.25">
      <c r="B46" s="1"/>
      <c r="C46" s="26" t="s">
        <v>21</v>
      </c>
      <c r="D46" s="132"/>
      <c r="E46" s="130"/>
      <c r="F46" s="130"/>
      <c r="G46" s="130"/>
      <c r="J46" s="26" t="s">
        <v>21</v>
      </c>
      <c r="K46" s="116"/>
      <c r="L46" s="134"/>
      <c r="M46" s="134"/>
      <c r="N46" s="24"/>
      <c r="O46" s="1"/>
    </row>
    <row r="47" spans="2:15" ht="16.350000000000001" customHeight="1" x14ac:dyDescent="0.25">
      <c r="B47" s="1"/>
      <c r="C47" s="26"/>
      <c r="D47" s="4"/>
      <c r="E47" s="4"/>
      <c r="F47" s="4"/>
      <c r="G47" s="4"/>
      <c r="I47" s="32"/>
      <c r="J47" s="26"/>
      <c r="K47" s="4"/>
      <c r="L47" s="4"/>
      <c r="M47" s="4"/>
      <c r="N47" s="24"/>
    </row>
    <row r="48" spans="2:15" ht="16.350000000000001" customHeight="1" x14ac:dyDescent="0.25">
      <c r="B48" s="1"/>
      <c r="N48" s="24"/>
    </row>
    <row r="49" spans="2:14" x14ac:dyDescent="0.25">
      <c r="B49" s="1"/>
      <c r="C49" s="32" t="str">
        <f>IF(ISBLANK(VLOOKUP($D$27,COMM!$B:$V,2)), " ",VLOOKUP($D$27,COMM!$B:$V,2))</f>
        <v xml:space="preserve"> </v>
      </c>
      <c r="D49" s="116"/>
      <c r="E49" s="116"/>
      <c r="F49" s="116"/>
      <c r="G49" s="116"/>
      <c r="I49" s="133" t="str">
        <f>IF(ISBLANK(VLOOKUP($I$27,Format!$A:$V,2)), " ",VLOOKUP($I$27,Format!$A:$V,2))</f>
        <v>Registration e-mail ID</v>
      </c>
      <c r="J49" s="133"/>
      <c r="K49" s="116" t="str">
        <f>IF($D$12="Intercompany",IF('Adient EDI Form'!$I$27="ANSI_X12", Format!$C$2,Format!$C$3), " ")</f>
        <v xml:space="preserve"> </v>
      </c>
      <c r="L49" s="116"/>
      <c r="M49" s="116"/>
      <c r="N49" s="24"/>
    </row>
    <row r="50" spans="2:14" ht="16.350000000000001" customHeight="1" x14ac:dyDescent="0.25">
      <c r="B50" s="1"/>
      <c r="C50" s="32" t="str">
        <f>IF(ISBLANK(VLOOKUP($D$27,COMM!$B:$V,4)), " ",VLOOKUP($D$27,COMM!$B:$V,4))</f>
        <v xml:space="preserve"> </v>
      </c>
      <c r="D50" s="116" t="str">
        <f>IF($D$12="Intercompany", IF($D$27="OFTP2",VLOOKUP('Adient EDI Form'!$H$16,'Plant Listing'!C:D,2,FALSE),$D$30)," ")</f>
        <v xml:space="preserve"> </v>
      </c>
      <c r="E50" s="116"/>
      <c r="F50" s="116"/>
      <c r="G50" s="116"/>
      <c r="I50" s="133" t="str">
        <f>IF(ISBLANK(VLOOKUP($I$27,Format!$A:$V,4)), " ",VLOOKUP($I$27,Format!$A:$V,4))</f>
        <v xml:space="preserve"> </v>
      </c>
      <c r="J50" s="133"/>
      <c r="K50" s="116" t="str">
        <f>IF($D$12="Intercompany",$K$30,"")</f>
        <v/>
      </c>
      <c r="L50" s="116"/>
      <c r="M50" s="116"/>
      <c r="N50" s="24"/>
    </row>
    <row r="51" spans="2:14" ht="20.100000000000001" customHeight="1" x14ac:dyDescent="0.25">
      <c r="B51" s="1"/>
      <c r="C51" s="32" t="str">
        <f>IF(ISBLANK(VLOOKUP($D$27,COMM!$B:$V,6)), " ",VLOOKUP($D$27,COMM!$B:$V,6))</f>
        <v xml:space="preserve"> </v>
      </c>
      <c r="D51" s="116" t="str">
        <f>IF($D$12="Intercompany", D31," ")</f>
        <v xml:space="preserve"> </v>
      </c>
      <c r="E51" s="116"/>
      <c r="F51" s="116"/>
      <c r="G51" s="116"/>
      <c r="I51" s="133" t="str">
        <f>IF(ISBLANK(VLOOKUP($I$27,Format!$A:$V,6)), " ",VLOOKUP($I$27,Format!$A:$V,6))</f>
        <v xml:space="preserve"> </v>
      </c>
      <c r="J51" s="133"/>
      <c r="K51" s="115" t="str">
        <f>IF($D$12="Intercompany",IF('Adient EDI Form'!$I$27="ANSI_X12", $K$31,VLOOKUP('Adient EDI Form'!$D$16,'Plant Listing'!$B:$L,11,FALSE)), " ")</f>
        <v xml:space="preserve"> </v>
      </c>
      <c r="L51" s="115"/>
      <c r="M51" s="115"/>
      <c r="N51" s="24"/>
    </row>
    <row r="52" spans="2:14" ht="16.350000000000001" customHeight="1" x14ac:dyDescent="0.25">
      <c r="B52" s="1"/>
      <c r="C52" s="32" t="str">
        <f>IF(ISBLANK(VLOOKUP($D$27,COMM!$B:$V,8)), " ",VLOOKUP($D$27,COMM!$B:$V,8))</f>
        <v xml:space="preserve"> </v>
      </c>
      <c r="D52" s="116" t="str">
        <f t="shared" ref="D52:D55" si="0">IF($D$12="Intercompany", D32," ")</f>
        <v xml:space="preserve"> </v>
      </c>
      <c r="E52" s="116"/>
      <c r="F52" s="116"/>
      <c r="G52" s="116"/>
      <c r="I52" s="133" t="str">
        <f>IF(ISBLANK(VLOOKUP($I$27,Format!$A:$V,8)), " ",VLOOKUP($I$27,Format!$A:$V,8))</f>
        <v xml:space="preserve"> </v>
      </c>
      <c r="J52" s="133"/>
      <c r="K52" s="123" t="str">
        <f>IF($D$12="Intercompany",IF('Adient EDI Form'!$I$27="ANSI_X12", VLOOKUP('Adient EDI Form'!$D$14,'Plant Listing'!$C:$H,5,FALSE),$K$32), " ")</f>
        <v xml:space="preserve"> </v>
      </c>
      <c r="L52" s="123"/>
      <c r="M52" s="123"/>
      <c r="N52" s="24"/>
    </row>
    <row r="53" spans="2:14" ht="16.350000000000001" customHeight="1" x14ac:dyDescent="0.25">
      <c r="B53" s="1"/>
      <c r="C53" s="32" t="str">
        <f>IF(ISBLANK(VLOOKUP($D$27,COMM!$B:$V,10)), " ",VLOOKUP($D$27,COMM!$B:$V,10))</f>
        <v xml:space="preserve"> </v>
      </c>
      <c r="D53" s="116" t="str">
        <f t="shared" si="0"/>
        <v xml:space="preserve"> </v>
      </c>
      <c r="E53" s="116"/>
      <c r="F53" s="116"/>
      <c r="G53" s="116"/>
      <c r="I53" s="133" t="str">
        <f>IF(ISBLANK(VLOOKUP($D$27,COMM!$B:$X,18)), " ",VLOOKUP($D$27,COMM!$B:$X,18))</f>
        <v xml:space="preserve"> </v>
      </c>
      <c r="J53" s="133"/>
      <c r="K53" s="64"/>
      <c r="L53" s="113" t="str">
        <f>IF(ISBLANK(VLOOKUP($D$27,COMM!$B:$X,19)), " ",VLOOKUP($D$27,COMM!$B:$X,19))</f>
        <v xml:space="preserve"> </v>
      </c>
      <c r="M53" s="113"/>
      <c r="N53" s="24"/>
    </row>
    <row r="54" spans="2:14" x14ac:dyDescent="0.25">
      <c r="B54" s="1"/>
      <c r="C54" s="32" t="str">
        <f>IF(ISBLANK(VLOOKUP($D$27,COMM!$B:$V,12)), " ",VLOOKUP($D$27,COMM!$B:$V,12))</f>
        <v xml:space="preserve"> </v>
      </c>
      <c r="D54" s="116" t="str">
        <f t="shared" si="0"/>
        <v xml:space="preserve"> </v>
      </c>
      <c r="E54" s="116"/>
      <c r="F54" s="116"/>
      <c r="G54" s="116"/>
      <c r="I54" s="133" t="str">
        <f>IF(ISBLANK(VLOOKUP($D$27,COMM!$B:$X,20)), " ",VLOOKUP($D$27,COMM!$B:$X,20))</f>
        <v xml:space="preserve"> </v>
      </c>
      <c r="J54" s="133"/>
      <c r="K54" s="47"/>
      <c r="L54" s="113" t="str">
        <f>IF(ISBLANK(VLOOKUP($D$27,COMM!$B:$X,21)), " ",VLOOKUP($D$27,COMM!$B:$X,21))</f>
        <v xml:space="preserve"> </v>
      </c>
      <c r="M54" s="113"/>
      <c r="N54" s="24"/>
    </row>
    <row r="55" spans="2:14" ht="16.350000000000001" customHeight="1" x14ac:dyDescent="0.25">
      <c r="B55" s="1"/>
      <c r="C55" s="32" t="str">
        <f>IF(ISBLANK(VLOOKUP($D$27,COMM!$B:$V,14)), " ",VLOOKUP($D$27,COMM!$B:$V,14))</f>
        <v xml:space="preserve"> </v>
      </c>
      <c r="D55" s="116" t="str">
        <f t="shared" si="0"/>
        <v xml:space="preserve"> </v>
      </c>
      <c r="E55" s="116"/>
      <c r="F55" s="116"/>
      <c r="G55" s="116"/>
      <c r="I55" s="133" t="str">
        <f>IF(ISBLANK(VLOOKUP($D$27,COMM!$B:$X,22)), " ",VLOOKUP($D$27,COMM!$B:$X,22))</f>
        <v xml:space="preserve"> </v>
      </c>
      <c r="J55" s="133"/>
      <c r="K55" s="47"/>
      <c r="L55" s="113" t="str">
        <f>IF(ISBLANK(VLOOKUP($D$27,COMM!$B:$X,23)), " ",VLOOKUP($D$27,COMM!$B:$X,23))</f>
        <v xml:space="preserve"> </v>
      </c>
      <c r="M55" s="113"/>
      <c r="N55" s="24"/>
    </row>
    <row r="56" spans="2:14" x14ac:dyDescent="0.25">
      <c r="B56" s="1"/>
      <c r="C56" s="32" t="str">
        <f>IF(ISBLANK(VLOOKUP($D$27,COMM!$B:$V,16)), " ",VLOOKUP($D$27,COMM!$B:$V,16))</f>
        <v xml:space="preserve"> </v>
      </c>
      <c r="D56" s="116"/>
      <c r="E56" s="116"/>
      <c r="F56" s="116"/>
      <c r="G56" s="116"/>
      <c r="I56" s="113" t="str">
        <f>IF(ISBLANK(VLOOKUP($I$27,Format!$A:$V,16)), " ",VLOOKUP($I$27,Format!$A:$V,16))</f>
        <v xml:space="preserve"> </v>
      </c>
      <c r="J56" s="113"/>
      <c r="K56" s="135"/>
      <c r="L56" s="135"/>
      <c r="M56" s="135"/>
      <c r="N56" s="24"/>
    </row>
    <row r="57" spans="2:14" x14ac:dyDescent="0.25">
      <c r="B57" s="1"/>
      <c r="C57" s="32" t="str">
        <f>IF(ISBLANK(VLOOKUP($D$27,COMM!$B:$V,18)), " ",VLOOKUP($D$27,COMM!$B:$V,18))</f>
        <v xml:space="preserve"> </v>
      </c>
      <c r="D57" s="114"/>
      <c r="E57" s="114"/>
      <c r="F57" s="114"/>
      <c r="G57" s="114"/>
      <c r="I57" s="113" t="str">
        <f>IF(ISBLANK(VLOOKUP($I$27,Format!$A:$V,18)), " ",VLOOKUP($I$27,Format!$A:$V,18))</f>
        <v xml:space="preserve"> </v>
      </c>
      <c r="J57" s="113"/>
      <c r="K57" s="136"/>
      <c r="L57" s="136"/>
      <c r="M57" s="136"/>
      <c r="N57" s="24"/>
    </row>
    <row r="58" spans="2:14" x14ac:dyDescent="0.25">
      <c r="B58" s="1"/>
      <c r="C58" s="32"/>
      <c r="D58" s="75"/>
      <c r="E58" s="75"/>
      <c r="F58" s="75"/>
      <c r="G58" s="75"/>
      <c r="I58" s="113" t="str">
        <f>IF(ISBLANK(VLOOKUP($I$27,Format!$A:$V,18)), " ",VLOOKUP($I$27,Format!$A:$V,18))</f>
        <v xml:space="preserve"> </v>
      </c>
      <c r="J58" s="113"/>
      <c r="K58" s="136"/>
      <c r="L58" s="113"/>
      <c r="M58" s="113"/>
      <c r="N58" s="24"/>
    </row>
    <row r="59" spans="2:14" x14ac:dyDescent="0.25">
      <c r="B59" s="1"/>
      <c r="C59" s="32"/>
      <c r="D59" s="75"/>
      <c r="E59" s="75"/>
      <c r="F59" s="75"/>
      <c r="G59" s="75"/>
      <c r="K59" s="75"/>
      <c r="N59" s="24"/>
    </row>
    <row r="60" spans="2:14" x14ac:dyDescent="0.25">
      <c r="B60" s="1"/>
      <c r="C60" s="32"/>
      <c r="D60" s="75"/>
      <c r="E60" s="75"/>
      <c r="F60" s="75"/>
      <c r="G60" s="75"/>
      <c r="K60" s="75"/>
      <c r="N60" s="24"/>
    </row>
    <row r="61" spans="2:14" x14ac:dyDescent="0.25">
      <c r="B61" s="1"/>
      <c r="C61" s="32"/>
      <c r="D61" s="4"/>
      <c r="E61" s="4"/>
      <c r="F61" s="4"/>
      <c r="G61" s="4"/>
      <c r="H61" t="s">
        <v>22</v>
      </c>
      <c r="I61" s="140" t="str">
        <f>IF(LEFT($D$27,5)="OFTP2","Virtual File Name"," ")</f>
        <v xml:space="preserve"> </v>
      </c>
      <c r="J61" s="133"/>
      <c r="K61" s="4"/>
      <c r="L61" s="4"/>
      <c r="M61" s="4"/>
      <c r="N61" s="24"/>
    </row>
    <row r="62" spans="2:14" x14ac:dyDescent="0.25">
      <c r="B62" s="1"/>
      <c r="C62" s="32" t="s">
        <v>23</v>
      </c>
      <c r="D62" s="116"/>
      <c r="E62" s="116"/>
      <c r="F62" s="116"/>
      <c r="G62" s="116"/>
      <c r="H62" s="47"/>
      <c r="I62" s="128" t="str">
        <f>IF(LEFT($D$27,5)="OFTP2",IF(ISBLANK($D$62)," ",_xlfn.CONCAT($D$62,"-",$L$12))," ")</f>
        <v xml:space="preserve"> </v>
      </c>
      <c r="J62" s="129"/>
      <c r="K62" s="102" t="s">
        <v>24</v>
      </c>
      <c r="L62" t="str">
        <f>IF(ISBLANK($M$62),IF($L$12="Plant Id"," ",VLOOKUP($L$12,'Plant Listing'!C:M,11,FALSE)),$M$62)</f>
        <v xml:space="preserve"> </v>
      </c>
      <c r="M62" s="48"/>
      <c r="N62" s="24"/>
    </row>
    <row r="63" spans="2:14" x14ac:dyDescent="0.25">
      <c r="B63" s="1"/>
      <c r="C63" s="32"/>
      <c r="D63" s="114"/>
      <c r="E63" s="114"/>
      <c r="F63" s="114"/>
      <c r="G63" s="114"/>
      <c r="H63" s="47"/>
      <c r="I63" s="128" t="str">
        <f>IF(LEFT($D$27,5)="OFTP2",IF(ISBLANK($D$63)," ",_xlfn.CONCAT($D$63,"-",$L$12))," ")</f>
        <v xml:space="preserve"> </v>
      </c>
      <c r="J63" s="129"/>
      <c r="K63" s="74" t="s">
        <v>25</v>
      </c>
      <c r="L63" s="138"/>
      <c r="M63" s="139"/>
      <c r="N63" s="24"/>
    </row>
    <row r="64" spans="2:14" x14ac:dyDescent="0.25">
      <c r="B64" s="1"/>
      <c r="C64" s="32"/>
      <c r="D64" s="114"/>
      <c r="E64" s="114"/>
      <c r="F64" s="114"/>
      <c r="G64" s="114"/>
      <c r="H64" s="47"/>
      <c r="I64" s="128" t="str">
        <f>IF(LEFT($D$27,5)="OFTP2",IF(ISBLANK($D$64)," ",_xlfn.CONCAT($D$64,"-",$L$12))," ")</f>
        <v xml:space="preserve"> </v>
      </c>
      <c r="J64" s="129"/>
      <c r="K64" s="4"/>
      <c r="L64" s="4"/>
      <c r="M64" s="4"/>
      <c r="N64" s="24"/>
    </row>
    <row r="65" spans="1:14" x14ac:dyDescent="0.25">
      <c r="B65" s="1"/>
      <c r="C65" s="32"/>
      <c r="D65" s="114"/>
      <c r="E65" s="114"/>
      <c r="F65" s="114"/>
      <c r="G65" s="114"/>
      <c r="H65" s="47"/>
      <c r="I65" s="128" t="str">
        <f>IF(LEFT($D$27,5)="OFTP2",IF(ISBLANK($D$65)," ",_xlfn.CONCAT($D$65,"-",$L$12))," ")</f>
        <v xml:space="preserve"> </v>
      </c>
      <c r="J65" s="129"/>
      <c r="K65" s="4"/>
      <c r="L65" s="4"/>
      <c r="M65" s="4"/>
      <c r="N65" s="24"/>
    </row>
    <row r="66" spans="1:14" x14ac:dyDescent="0.25">
      <c r="B66" s="1"/>
      <c r="C66" s="32"/>
      <c r="D66" s="114"/>
      <c r="E66" s="114"/>
      <c r="F66" s="114"/>
      <c r="G66" s="114"/>
      <c r="H66" s="47"/>
      <c r="I66" s="128" t="str">
        <f>IF(LEFT($D$27,5)="OFTP2",IF(ISBLANK($D$66)," ",_xlfn.CONCAT($D$66,"-",$L$12))," ")</f>
        <v xml:space="preserve"> </v>
      </c>
      <c r="J66" s="129"/>
      <c r="K66" s="4"/>
      <c r="L66" s="4"/>
      <c r="M66" s="4"/>
      <c r="N66" s="24"/>
    </row>
    <row r="67" spans="1:14" x14ac:dyDescent="0.25">
      <c r="B67" s="1"/>
      <c r="C67" s="32"/>
      <c r="D67" s="114"/>
      <c r="E67" s="114"/>
      <c r="F67" s="114"/>
      <c r="G67" s="114"/>
      <c r="H67" s="47"/>
      <c r="I67" s="128" t="str">
        <f>IF(LEFT($D$27,5)="OFTP2",IF(ISBLANK($D$67)," ",_xlfn.CONCAT($D$67,"-",$L$12))," ")</f>
        <v xml:space="preserve"> </v>
      </c>
      <c r="J67" s="129"/>
      <c r="K67" s="4"/>
      <c r="L67" s="4"/>
      <c r="M67" s="4"/>
      <c r="N67" s="24"/>
    </row>
    <row r="68" spans="1:14" ht="15.75" thickBot="1" x14ac:dyDescent="0.3"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x14ac:dyDescent="0.25">
      <c r="B69" s="1"/>
      <c r="C69" s="45" t="s">
        <v>26</v>
      </c>
      <c r="D69" s="4"/>
      <c r="E69" s="4"/>
      <c r="F69" s="4"/>
      <c r="G69" s="4"/>
      <c r="K69" s="4"/>
      <c r="L69" s="4"/>
      <c r="M69" s="4"/>
      <c r="N69" s="24"/>
    </row>
    <row r="70" spans="1:14" ht="15.75" thickBot="1" x14ac:dyDescent="0.3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20.100000000000001" customHeight="1" thickBot="1" x14ac:dyDescent="0.3">
      <c r="B71" s="20"/>
      <c r="C71" s="21" t="s">
        <v>27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3"/>
    </row>
    <row r="72" spans="1:14" ht="26.1" customHeight="1" thickBot="1" x14ac:dyDescent="0.3">
      <c r="B72" s="1"/>
      <c r="C72" s="27" t="s">
        <v>28</v>
      </c>
      <c r="D72" s="39"/>
      <c r="E72" s="40"/>
      <c r="F72" s="41"/>
      <c r="G72" s="41"/>
      <c r="H72" s="39"/>
      <c r="I72" s="5"/>
      <c r="N72" s="24"/>
    </row>
    <row r="73" spans="1:14" ht="20.100000000000001" customHeight="1" thickBot="1" x14ac:dyDescent="0.3">
      <c r="A73" s="6"/>
      <c r="B73" s="20"/>
      <c r="C73" s="21" t="s">
        <v>29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x14ac:dyDescent="0.25">
      <c r="B74" s="1"/>
      <c r="E74" s="42" t="s">
        <v>30</v>
      </c>
      <c r="F74" s="2"/>
      <c r="G74" s="2"/>
      <c r="H74" s="2"/>
      <c r="I74" s="2"/>
      <c r="N74" s="24"/>
    </row>
    <row r="75" spans="1:14" x14ac:dyDescent="0.25">
      <c r="B75" s="1"/>
      <c r="E75" s="42" t="s">
        <v>31</v>
      </c>
      <c r="F75" s="3"/>
      <c r="G75" s="3"/>
      <c r="H75" s="3"/>
      <c r="I75" s="3"/>
      <c r="N75" s="24"/>
    </row>
    <row r="76" spans="1:14" x14ac:dyDescent="0.25">
      <c r="B76" s="1"/>
      <c r="E76" s="42" t="s">
        <v>32</v>
      </c>
      <c r="F76" s="3"/>
      <c r="G76" s="3"/>
      <c r="H76" s="3"/>
      <c r="I76" s="3"/>
      <c r="N76" s="24"/>
    </row>
    <row r="77" spans="1:14" x14ac:dyDescent="0.25">
      <c r="B77" s="1"/>
      <c r="E77" s="42" t="s">
        <v>33</v>
      </c>
      <c r="F77" s="3"/>
      <c r="G77" s="3"/>
      <c r="H77" s="3"/>
      <c r="I77" s="3"/>
      <c r="K77" s="42" t="s">
        <v>34</v>
      </c>
      <c r="L77" s="43">
        <v>43166</v>
      </c>
      <c r="N77" s="24"/>
    </row>
    <row r="78" spans="1:14" x14ac:dyDescent="0.25">
      <c r="B78" s="1"/>
      <c r="C78" s="25"/>
      <c r="N78" s="24"/>
    </row>
    <row r="79" spans="1:14" x14ac:dyDescent="0.25">
      <c r="B79" s="1"/>
      <c r="C79" s="25" t="s">
        <v>35</v>
      </c>
      <c r="N79" s="24"/>
    </row>
    <row r="80" spans="1:14" x14ac:dyDescent="0.25">
      <c r="B80" s="1"/>
      <c r="D80" s="44"/>
      <c r="E80" s="44"/>
      <c r="F80" s="44"/>
      <c r="G80" s="44"/>
      <c r="H80" s="44"/>
      <c r="I80" s="44"/>
      <c r="J80" s="44"/>
      <c r="K80" s="44"/>
      <c r="L80" s="44"/>
      <c r="N80" s="24"/>
    </row>
    <row r="81" spans="2:14" x14ac:dyDescent="0.25">
      <c r="B81" s="1"/>
      <c r="C81" s="25"/>
      <c r="N81" s="24"/>
    </row>
    <row r="82" spans="2:14" ht="15.75" thickBo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5" spans="2:14" x14ac:dyDescent="0.25">
      <c r="D85" s="7"/>
      <c r="E85" s="7"/>
      <c r="F85" s="7"/>
      <c r="G85" s="7"/>
      <c r="H85" s="7"/>
      <c r="I85" s="7"/>
      <c r="J85" s="7"/>
      <c r="K85" s="7"/>
      <c r="L85" s="8"/>
      <c r="M85" s="8"/>
    </row>
    <row r="86" spans="2:14" x14ac:dyDescent="0.25">
      <c r="D86" s="9"/>
      <c r="E86" s="9"/>
      <c r="F86" s="9"/>
      <c r="G86" s="9"/>
      <c r="H86" s="9"/>
      <c r="I86" s="9"/>
      <c r="J86" s="9"/>
      <c r="K86" s="9"/>
      <c r="L86" s="8"/>
      <c r="M86" s="8"/>
    </row>
  </sheetData>
  <sheetProtection algorithmName="SHA-512" hashValue="Eaf1mBghdXTnAq8oOjMuSpfgNfmGrEOQkB99Ing72wothGqMgqJ7JeazhqoggCh+x0nUgu7fRn4tI7MxJZQlsg==" saltValue="vyiSlW2bSXA6xclODwvZOg==" spinCount="100000" sheet="1" objects="1" scenarios="1"/>
  <customSheetViews>
    <customSheetView guid="{9D929ADD-7BFC-45ED-8BCA-2599FB1543BC}">
      <selection activeCell="G8" sqref="G8"/>
      <pageMargins left="0" right="0" top="0" bottom="0" header="0" footer="0"/>
      <printOptions horizontalCentered="1"/>
      <pageSetup scale="75" orientation="portrait" r:id="rId1"/>
    </customSheetView>
  </customSheetViews>
  <mergeCells count="84">
    <mergeCell ref="L63:M63"/>
    <mergeCell ref="I61:J61"/>
    <mergeCell ref="I64:J64"/>
    <mergeCell ref="I65:J65"/>
    <mergeCell ref="I63:J63"/>
    <mergeCell ref="D36:K36"/>
    <mergeCell ref="I33:J33"/>
    <mergeCell ref="I34:J34"/>
    <mergeCell ref="C19:G19"/>
    <mergeCell ref="C20:G20"/>
    <mergeCell ref="C21:G21"/>
    <mergeCell ref="D29:G29"/>
    <mergeCell ref="D30:G30"/>
    <mergeCell ref="D31:G31"/>
    <mergeCell ref="D32:G32"/>
    <mergeCell ref="I35:J35"/>
    <mergeCell ref="I31:J31"/>
    <mergeCell ref="I32:J32"/>
    <mergeCell ref="I30:J30"/>
    <mergeCell ref="D33:G33"/>
    <mergeCell ref="I29:J29"/>
    <mergeCell ref="K57:M57"/>
    <mergeCell ref="D56:G56"/>
    <mergeCell ref="I62:J62"/>
    <mergeCell ref="I55:J55"/>
    <mergeCell ref="I50:J50"/>
    <mergeCell ref="I51:J51"/>
    <mergeCell ref="D50:G50"/>
    <mergeCell ref="D51:G51"/>
    <mergeCell ref="D54:G54"/>
    <mergeCell ref="D55:G55"/>
    <mergeCell ref="I52:J52"/>
    <mergeCell ref="I58:J58"/>
    <mergeCell ref="K58:M58"/>
    <mergeCell ref="I53:J53"/>
    <mergeCell ref="I54:J54"/>
    <mergeCell ref="I57:J57"/>
    <mergeCell ref="K43:M43"/>
    <mergeCell ref="K44:M44"/>
    <mergeCell ref="K45:M45"/>
    <mergeCell ref="K46:M46"/>
    <mergeCell ref="K56:M56"/>
    <mergeCell ref="K49:M49"/>
    <mergeCell ref="K50:M50"/>
    <mergeCell ref="K51:M51"/>
    <mergeCell ref="K52:M52"/>
    <mergeCell ref="L53:M53"/>
    <mergeCell ref="L54:M54"/>
    <mergeCell ref="L55:M55"/>
    <mergeCell ref="D62:G62"/>
    <mergeCell ref="I66:J66"/>
    <mergeCell ref="I67:J67"/>
    <mergeCell ref="D44:G44"/>
    <mergeCell ref="D45:G45"/>
    <mergeCell ref="D46:G46"/>
    <mergeCell ref="I56:J56"/>
    <mergeCell ref="I49:J49"/>
    <mergeCell ref="D67:G67"/>
    <mergeCell ref="D65:G65"/>
    <mergeCell ref="D64:G64"/>
    <mergeCell ref="D63:G63"/>
    <mergeCell ref="D66:G66"/>
    <mergeCell ref="J2:N8"/>
    <mergeCell ref="B3:I6"/>
    <mergeCell ref="D13:G13"/>
    <mergeCell ref="D14:G14"/>
    <mergeCell ref="C18:G18"/>
    <mergeCell ref="D12:G12"/>
    <mergeCell ref="D15:G15"/>
    <mergeCell ref="J12:K12"/>
    <mergeCell ref="J15:M15"/>
    <mergeCell ref="J14:M14"/>
    <mergeCell ref="J13:M13"/>
    <mergeCell ref="D16:E16"/>
    <mergeCell ref="F16:G16"/>
    <mergeCell ref="I37:J37"/>
    <mergeCell ref="D57:G57"/>
    <mergeCell ref="D43:G43"/>
    <mergeCell ref="D49:G49"/>
    <mergeCell ref="D37:G37"/>
    <mergeCell ref="D38:G38"/>
    <mergeCell ref="I38:J38"/>
    <mergeCell ref="D52:G52"/>
    <mergeCell ref="D53:G53"/>
  </mergeCells>
  <conditionalFormatting sqref="D28">
    <cfRule type="expression" dxfId="15" priority="1">
      <formula>IF(C28=" ",FALSE,TRUE)</formula>
    </cfRule>
  </conditionalFormatting>
  <conditionalFormatting sqref="D15:G15">
    <cfRule type="expression" dxfId="14" priority="60" stopIfTrue="1">
      <formula>IF(D12="Intercompany",TRUE,FALSE)</formula>
    </cfRule>
  </conditionalFormatting>
  <conditionalFormatting sqref="D49:G57">
    <cfRule type="expression" dxfId="13" priority="5">
      <formula>-IF(C49=" ",TRUE, FALSE)</formula>
    </cfRule>
  </conditionalFormatting>
  <conditionalFormatting sqref="D58:G60">
    <cfRule type="expression" dxfId="12" priority="18">
      <formula>IF(C58=" ",TRUE, FALSE)</formula>
    </cfRule>
  </conditionalFormatting>
  <conditionalFormatting sqref="J12:K12">
    <cfRule type="expression" dxfId="11" priority="2">
      <formula>IF(J12="Plant Name",FALSE,TRUE)</formula>
    </cfRule>
  </conditionalFormatting>
  <conditionalFormatting sqref="J13:M15">
    <cfRule type="expression" dxfId="10" priority="3">
      <formula>IF(J13=" ",FALSE,TRUE)</formula>
    </cfRule>
  </conditionalFormatting>
  <conditionalFormatting sqref="K58:K60">
    <cfRule type="expression" dxfId="9" priority="45">
      <formula>IF(I58=" ",TRUE, FALSE)</formula>
    </cfRule>
  </conditionalFormatting>
  <conditionalFormatting sqref="K53:L55">
    <cfRule type="expression" dxfId="8" priority="36">
      <formula>IF(I53=" ",TRUE, FALSE)</formula>
    </cfRule>
  </conditionalFormatting>
  <conditionalFormatting sqref="K49:M52">
    <cfRule type="expression" dxfId="7" priority="19">
      <formula>IF(I49=" ",TRUE, FALSE)</formula>
    </cfRule>
  </conditionalFormatting>
  <conditionalFormatting sqref="K56:M57">
    <cfRule type="expression" dxfId="6" priority="39">
      <formula>IF(I56=" ",TRUE, FALSE)</formula>
    </cfRule>
  </conditionalFormatting>
  <dataValidations count="5">
    <dataValidation type="list" allowBlank="1" showInputMessage="1" showErrorMessage="1" sqref="D62:G67" xr:uid="{00000000-0002-0000-0000-000000000000}">
      <formula1>INDIRECT($I$27)</formula1>
    </dataValidation>
    <dataValidation type="list" allowBlank="1" showInputMessage="1" showErrorMessage="1" sqref="D12:G12" xr:uid="{00000000-0002-0000-0000-000001000000}">
      <formula1>"Customer,Supplier, Intercompany"</formula1>
    </dataValidation>
    <dataValidation type="list" allowBlank="1" showInputMessage="1" showErrorMessage="1" sqref="H62:H67" xr:uid="{00000000-0002-0000-0000-000002000000}">
      <formula1>"TP-to-Adient,Adient-to-TP"</formula1>
    </dataValidation>
    <dataValidation type="list" allowBlank="1" showInputMessage="1" showErrorMessage="1" sqref="M62" xr:uid="{00000000-0002-0000-0000-000003000000}">
      <formula1>"003020,003040,003030,D96A,004010"</formula1>
    </dataValidation>
    <dataValidation type="list" allowBlank="1" showInputMessage="1" showErrorMessage="1" sqref="L63" xr:uid="{00000000-0002-0000-0000-000004000000}">
      <formula1>"0301,0302,0401, "</formula1>
    </dataValidation>
  </dataValidations>
  <printOptions horizontalCentered="1"/>
  <pageMargins left="0.2" right="0.45" top="0.25" bottom="0.25" header="0.3" footer="0.3"/>
  <pageSetup scale="75" orientation="portrait" r:id="rId2"/>
  <headerFooter>
    <oddFooter>&amp;C&amp;1#&amp;"Calibri"&amp;10&amp;K000000Adient – INTERNAL</oddFooter>
  </headerFooter>
  <ignoredErrors>
    <ignoredError sqref="K49:K51 K52 D50:G55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7000000}">
          <x14:formula1>
            <xm:f>Format!$A:$A</xm:f>
          </x14:formula1>
          <xm:sqref>F27 I27</xm:sqref>
        </x14:dataValidation>
        <x14:dataValidation type="list" allowBlank="1" showInputMessage="1" showErrorMessage="1" xr:uid="{00000000-0002-0000-0000-000005000000}">
          <x14:formula1>
            <xm:f>COMM!$A$1:$A$3</xm:f>
          </x14:formula1>
          <xm:sqref>C27</xm:sqref>
        </x14:dataValidation>
        <x14:dataValidation type="list" allowBlank="1" showErrorMessage="1" xr:uid="{00000000-0002-0000-0000-000006000000}">
          <x14:formula1>
            <xm:f>COMM!$B:$B</xm:f>
          </x14:formula1>
          <xm:sqref>D27</xm:sqref>
        </x14:dataValidation>
        <x14:dataValidation type="list" allowBlank="1" showInputMessage="1" showErrorMessage="1" xr:uid="{00000000-0002-0000-0000-000008000000}">
          <x14:formula1>
            <xm:f>'Plant Listing'!$B:$B</xm:f>
          </x14:formula1>
          <xm:sqref>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"/>
  <sheetViews>
    <sheetView topLeftCell="J1" zoomScale="115" zoomScaleNormal="115" workbookViewId="0">
      <selection activeCell="AA2" sqref="AA2"/>
    </sheetView>
  </sheetViews>
  <sheetFormatPr defaultRowHeight="15" x14ac:dyDescent="0.25"/>
  <cols>
    <col min="1" max="1" width="13.42578125" customWidth="1"/>
    <col min="2" max="2" width="26" bestFit="1" customWidth="1"/>
    <col min="3" max="3" width="17.5703125" customWidth="1"/>
    <col min="4" max="4" width="20.5703125" customWidth="1"/>
    <col min="5" max="5" width="19.5703125" customWidth="1"/>
    <col min="6" max="6" width="14.5703125" customWidth="1"/>
    <col min="7" max="7" width="19.5703125" customWidth="1"/>
    <col min="8" max="8" width="9.140625" customWidth="1"/>
    <col min="10" max="10" width="27.42578125" customWidth="1"/>
    <col min="12" max="12" width="15.140625" customWidth="1"/>
    <col min="13" max="13" width="16.85546875" customWidth="1"/>
    <col min="14" max="14" width="9.42578125" customWidth="1"/>
    <col min="15" max="15" width="8.42578125" bestFit="1" customWidth="1"/>
    <col min="16" max="16" width="14.42578125" bestFit="1" customWidth="1"/>
    <col min="17" max="17" width="13.42578125" customWidth="1"/>
    <col min="25" max="26" width="12" customWidth="1"/>
  </cols>
  <sheetData>
    <row r="1" spans="1:26" ht="60.75" x14ac:dyDescent="0.25">
      <c r="A1" s="60" t="s">
        <v>36</v>
      </c>
      <c r="B1" s="59" t="s">
        <v>37</v>
      </c>
      <c r="C1" s="53" t="s">
        <v>38</v>
      </c>
      <c r="D1" s="53" t="s">
        <v>39</v>
      </c>
      <c r="E1" s="53" t="s">
        <v>40</v>
      </c>
      <c r="F1" s="57" t="s">
        <v>41</v>
      </c>
      <c r="G1" s="58" t="s">
        <v>42</v>
      </c>
      <c r="H1" s="53" t="s">
        <v>38</v>
      </c>
      <c r="I1" s="53" t="s">
        <v>43</v>
      </c>
      <c r="J1" s="53" t="s">
        <v>44</v>
      </c>
      <c r="K1" s="57" t="s">
        <v>41</v>
      </c>
      <c r="L1" s="56" t="s">
        <v>45</v>
      </c>
      <c r="M1" s="53" t="s">
        <v>46</v>
      </c>
      <c r="N1" s="53" t="s">
        <v>47</v>
      </c>
      <c r="O1" s="53" t="s">
        <v>48</v>
      </c>
      <c r="P1" s="53" t="s">
        <v>49</v>
      </c>
      <c r="Q1" s="54" t="s">
        <v>50</v>
      </c>
      <c r="R1" s="53" t="s">
        <v>51</v>
      </c>
      <c r="S1" s="54" t="s">
        <v>52</v>
      </c>
      <c r="T1" s="53" t="s">
        <v>53</v>
      </c>
      <c r="U1" s="53" t="s">
        <v>54</v>
      </c>
      <c r="V1" s="53" t="s">
        <v>55</v>
      </c>
      <c r="W1" s="54" t="s">
        <v>56</v>
      </c>
      <c r="X1" s="54" t="s">
        <v>57</v>
      </c>
      <c r="Y1" s="53" t="s">
        <v>58</v>
      </c>
      <c r="Z1" s="53"/>
    </row>
    <row r="2" spans="1:26" x14ac:dyDescent="0.25">
      <c r="A2" s="68" t="str">
        <f>IF($M2="","",IF('Adient EDI Form'!$I$27="","Missing data",'Adient EDI Form'!$I$27))</f>
        <v/>
      </c>
      <c r="B2" t="str">
        <f>IF($M2="","",IF('Adient EDI Form'!$I$27="Web_EDI",'Adient EDI Form'!$D$14,'Adient EDI Form'!$K$49))</f>
        <v/>
      </c>
      <c r="C2" t="str">
        <f>IF($M2="","",IF('Adient EDI Form'!$I$27="Web_EDI","ZZ",IF('Adient EDI Form'!$D$12="Intercompany",IF('Adient EDI Form'!$I$27="ANSI_x12","01"," "),"")))</f>
        <v/>
      </c>
      <c r="D2" t="str">
        <f>IF('Adient EDI Form'!$I$27="ANSI_x12","",'Adient EDI Form'!$K$51)</f>
        <v xml:space="preserve"> </v>
      </c>
      <c r="E2" t="str">
        <f>IF('Adient EDI Form'!$K$49="","",'Adient EDI Form'!$K$49)</f>
        <v xml:space="preserve"> </v>
      </c>
      <c r="F2" s="61" t="str">
        <f>IF('Adient EDI Form'!$K$50="","",'Adient EDI Form'!$K$50)</f>
        <v/>
      </c>
      <c r="G2" t="str">
        <f>IF($M2="","",IF('Adient EDI Form'!$I$27="Web_EDI","JCI-"&amp;'Adient EDI Form'!$L$12,IF('Adient EDI Form'!$I$27="ANSI_x12",_xlfn.IFNA(VLOOKUP('Adient EDI Form'!$J$12,'Plant Listing'!$B:$J,6,FALSE)," "),'Adient EDI Form'!$K$29)))</f>
        <v/>
      </c>
      <c r="H2" t="str">
        <f>IF($M2="","",IF('Adient EDI Form'!$I$27="Web_EDI","ZZ",IF('Adient EDI Form'!$I$27="ANSI_x12","01"," ")))</f>
        <v/>
      </c>
      <c r="I2" t="str">
        <f>IF($M2="","",IF('Adient EDI Form'!$I$27&lt;&gt;"ANSI_x12",_xlfn.IFNA(VLOOKUP('Adient EDI Form'!$J$12,'Plant Listing'!B:L,11,FALSE)," ")," "))</f>
        <v/>
      </c>
      <c r="J2" t="str">
        <f>IF($M2="","",IF('Adient EDI Form'!$I$27&lt;&gt;"ANSI_x12",_xlfn.IFNA(VLOOKUP('Adient EDI Form'!$J$12,'Plant Listing'!B:J,9,FALSE)," "),_xlfn.IFNA(VLOOKUP('Adient EDI Form'!$J$12,'Plant Listing'!B:I,6,FALSE)," ")))</f>
        <v/>
      </c>
      <c r="K2" s="61" t="str">
        <f>IF('Adient EDI Form'!$I$27="Web_EDI"," ",IF($M2="","",IF('Adient EDI Form'!$I$27 = "ANSI_x12"," ","01")))</f>
        <v/>
      </c>
      <c r="L2" t="str">
        <f>IF('Adient EDI Form'!$H$62="","",'Adient EDI Form'!$H$62)</f>
        <v/>
      </c>
      <c r="M2" s="55" t="str">
        <f>IF(ISBLANK('Adient EDI Form'!$D$62),"",IF('Adient EDI Form'!$D$62=docs!$D$2,docs!$E$2,IF('Adient EDI Form'!$D$62=docs!$D$3,docs!$E$3,'Adient EDI Form'!$D$62)))</f>
        <v/>
      </c>
      <c r="N2" s="15" t="str">
        <f>IF(ISBLANK('Adient EDI Form'!$D$62),"",IF('Adient EDI Form'!$D$62=docs!$D$2,"3",IF('Adient EDI Form'!$D$62=docs!$D$3,"3",'Adient EDI Form'!$K$62)))</f>
        <v/>
      </c>
      <c r="O2" s="69"/>
      <c r="P2" s="15" t="str">
        <f>IF('Adient EDI Form'!$D$27="OFTP2",$M$2&amp;"-"&amp;$I$2," ")</f>
        <v xml:space="preserve"> </v>
      </c>
      <c r="Q2" s="15" t="str">
        <f>IF($M2="","",'Adient EDI Form'!$K$63)</f>
        <v/>
      </c>
      <c r="R2" s="15" t="str">
        <f>IF($M2="","","Y")</f>
        <v/>
      </c>
      <c r="S2" s="70"/>
      <c r="T2" s="71"/>
      <c r="U2" s="71"/>
      <c r="V2" s="71"/>
      <c r="W2" s="70"/>
      <c r="X2" s="70"/>
      <c r="Y2" t="str">
        <f>IF($M2="","",'Adient EDI Form'!$D$12)</f>
        <v/>
      </c>
    </row>
    <row r="3" spans="1:26" x14ac:dyDescent="0.25">
      <c r="A3" s="68" t="str">
        <f>IF($M3="","",IF('Adient EDI Form'!$I$27="","Missing data",'Adient EDI Form'!$I$27))</f>
        <v/>
      </c>
      <c r="B3" t="str">
        <f>IF($M3="","",IF('Adient EDI Form'!$I$27="Web_EDI",'Adient EDI Form'!$D$14,'Adient EDI Form'!$K$49))</f>
        <v/>
      </c>
      <c r="C3" t="str">
        <f>IF($M3="","",IF('Adient EDI Form'!$I$27="Web_EDI","ZZ",IF('Adient EDI Form'!$D$12="Intercompany",IF('Adient EDI Form'!$I$27="ANSI_x12","01"," "),"")))</f>
        <v/>
      </c>
      <c r="D3" t="str">
        <f>IF('Adient EDI Form'!$I$27="ANSI_x12","",'Adient EDI Form'!$K$51)</f>
        <v xml:space="preserve"> </v>
      </c>
      <c r="E3" t="str">
        <f>IF('Adient EDI Form'!$K$49="","",'Adient EDI Form'!$K$49)</f>
        <v xml:space="preserve"> </v>
      </c>
      <c r="F3" s="61" t="str">
        <f>IF('Adient EDI Form'!$K$50="","",'Adient EDI Form'!$K$50)</f>
        <v/>
      </c>
      <c r="G3" t="str">
        <f>IF($M3="","",IF('Adient EDI Form'!$I$27="Web_EDI","JCI-"&amp;'Adient EDI Form'!$L$12,IF('Adient EDI Form'!$I$27="ANSI_x12",_xlfn.IFNA(VLOOKUP('Adient EDI Form'!$J$12,'Plant Listing'!$B:$J,6,FALSE)," "),'Adient EDI Form'!$K$29)))</f>
        <v/>
      </c>
      <c r="H3" t="str">
        <f>IF($M3="","",IF('Adient EDI Form'!$I$27="Web_EDI","ZZ",IF('Adient EDI Form'!$I$27="ANSI_x12","01"," ")))</f>
        <v/>
      </c>
      <c r="I3" t="str">
        <f>IF($M3="","",IF('Adient EDI Form'!$I$27&lt;&gt;"ANSI_x12",_xlfn.IFNA(VLOOKUP('Adient EDI Form'!$J$12,'Plant Listing'!B:L,11,FALSE)," ")," "))</f>
        <v/>
      </c>
      <c r="J3" t="str">
        <f>IF($M3="","",IF('Adient EDI Form'!$I$27&lt;&gt;"ANSI_x12",_xlfn.IFNA(VLOOKUP('Adient EDI Form'!$J$12,'Plant Listing'!B:J,9,FALSE)," "),_xlfn.IFNA(VLOOKUP('Adient EDI Form'!$J$12,'Plant Listing'!B:I,6,FALSE)," ")))</f>
        <v/>
      </c>
      <c r="K3" s="61" t="str">
        <f>IF('Adient EDI Form'!$I$27="Web_EDI"," ",IF($M3="","",IF('Adient EDI Form'!$I$27 = "ANSI_x12"," ","01")))</f>
        <v/>
      </c>
      <c r="L3" t="str">
        <f>IF('Adient EDI Form'!$H$63="","",'Adient EDI Form'!$H$63)</f>
        <v/>
      </c>
      <c r="M3" s="55" t="str">
        <f>IF(ISBLANK('Adient EDI Form'!$D$63),"",IF('Adient EDI Form'!$D$63=docs!$D$2,docs!$E$2,IF('Adient EDI Form'!$D$63=docs!$D$3,docs!$E$3,'Adient EDI Form'!$D$63)))</f>
        <v/>
      </c>
      <c r="N3" s="15" t="str">
        <f>IF(ISBLANK('Adient EDI Form'!$D$63),"",IF('Adient EDI Form'!$D$63=docs!$D$2,"3",IF('Adient EDI Form'!$D$63=docs!$D$3,"3",'Adient EDI Form'!$K$62)))</f>
        <v/>
      </c>
      <c r="O3" s="72"/>
      <c r="P3" s="15" t="str">
        <f>IF('Adient EDI Form'!$D$27="OFTP2",$M$3&amp;"-"&amp;$I$2," ")</f>
        <v xml:space="preserve"> </v>
      </c>
      <c r="Q3" s="15" t="str">
        <f>IF($M3="","",'Adient EDI Form'!$K$63)</f>
        <v/>
      </c>
      <c r="R3" s="15" t="str">
        <f t="shared" ref="R3:R7" si="0">IF($M3="","","Y")</f>
        <v/>
      </c>
      <c r="S3" s="70"/>
      <c r="T3" s="71"/>
      <c r="U3" s="71"/>
      <c r="V3" s="71"/>
      <c r="W3" s="70"/>
      <c r="X3" s="70"/>
      <c r="Y3" t="str">
        <f>IF($M3="","",'Adient EDI Form'!$D$12)</f>
        <v/>
      </c>
    </row>
    <row r="4" spans="1:26" x14ac:dyDescent="0.25">
      <c r="A4" s="24" t="str">
        <f>IF($M4="","",'Adient EDI Form'!$I$27)</f>
        <v/>
      </c>
      <c r="B4" t="str">
        <f>IF($M4="","",'Adient EDI Form'!$K$52)</f>
        <v/>
      </c>
      <c r="C4" t="str">
        <f>IF($M4="","",'Adient EDI Form'!$K$50)</f>
        <v/>
      </c>
      <c r="D4" t="str">
        <f>IF($M4="","",'Adient EDI Form'!$K$51)</f>
        <v/>
      </c>
      <c r="E4" t="str">
        <f>IF($M4="","",'Adient EDI Form'!$K$49)</f>
        <v/>
      </c>
      <c r="F4" s="61" t="str">
        <f>IF($M4="","",'Adient EDI Form'!$K$50)</f>
        <v/>
      </c>
      <c r="G4" t="str">
        <f>IF($M4="","",IF('Adient EDI Form'!$I$27="ANSI_x12",_xlfn.IFNA(VLOOKUP('Adient EDI Form'!$J$12,'Plant Listing'!B:F,6,FALSE)," ")," "))</f>
        <v/>
      </c>
      <c r="H4" t="str">
        <f>IF($M4="","",IF('Adient EDI Form'!$I$27="ANSI_x12","01"," "))</f>
        <v/>
      </c>
      <c r="I4" t="str">
        <f>IF($M4="","",IF('Adient EDI Form'!$I$27&lt;&gt;"ANSI_x12",_xlfn.IFNA(VLOOKUP('Adient EDI Form'!$J$12,'Plant Listing'!B:L,11,FALSE)," ")," "))</f>
        <v/>
      </c>
      <c r="J4" t="str">
        <f>IF($M4="","",IF('Adient EDI Form'!$I$27&lt;&gt;"ANSI_x12",_xlfn.IFNA(VLOOKUP('Adient EDI Form'!$J$12,'Plant Listing'!B:J,9,FALSE)," "),_xlfn.IFNA(VLOOKUP('Adient EDI Form'!$J$12,'Plant Listing'!B:I,6,FALSE)," ")))</f>
        <v/>
      </c>
      <c r="K4" s="61" t="str">
        <f>IF('Adient EDI Form'!$I$27="Web_EDI"," ",IF($M4="","",IF('Adient EDI Form'!$I$27 = "ANSI_x12"," ","01")))</f>
        <v/>
      </c>
      <c r="L4" t="str">
        <f>IF($M4="","",'Adient EDI Form'!$H$62)</f>
        <v/>
      </c>
      <c r="M4" s="55" t="str">
        <f>IF(ISBLANK('Adient EDI Form'!$D$64), "",'Adient EDI Form'!$D$64)</f>
        <v/>
      </c>
      <c r="N4" s="55" t="str">
        <f>IF($M4="","",'Adient EDI Form'!$K$62)</f>
        <v/>
      </c>
      <c r="O4" s="53"/>
      <c r="P4" s="55" t="str">
        <f>IF($M4="","",IF('Adient EDI Form'!$D$27="OFTP2",$M$2&amp;"_"&amp;$A$2," "))</f>
        <v/>
      </c>
      <c r="Q4" s="55" t="str">
        <f>IF($M4="","",'Adient EDI Form'!$K$63)</f>
        <v/>
      </c>
      <c r="R4" s="55" t="str">
        <f t="shared" si="0"/>
        <v/>
      </c>
      <c r="S4" s="54"/>
      <c r="T4" s="53"/>
      <c r="U4" s="53"/>
      <c r="V4" s="53"/>
      <c r="W4" s="54"/>
      <c r="X4" s="54"/>
      <c r="Y4" t="str">
        <f>IF($M4="","",'Adient EDI Form'!$D$12)</f>
        <v/>
      </c>
    </row>
    <row r="5" spans="1:26" x14ac:dyDescent="0.25">
      <c r="A5" s="24" t="str">
        <f>IF($M5="","",'Adient EDI Form'!$I$27)</f>
        <v/>
      </c>
      <c r="B5" t="str">
        <f>IF($M5="","",'Adient EDI Form'!$K$52)</f>
        <v/>
      </c>
      <c r="C5" t="str">
        <f>IF($M5="","",'Adient EDI Form'!$K$50)</f>
        <v/>
      </c>
      <c r="D5" t="str">
        <f>IF($M5="","",'Adient EDI Form'!$K$51)</f>
        <v/>
      </c>
      <c r="E5" t="str">
        <f>IF($M5="","",'Adient EDI Form'!$K$49)</f>
        <v/>
      </c>
      <c r="F5" s="61" t="str">
        <f>IF($M5="","",'Adient EDI Form'!$K$50)</f>
        <v/>
      </c>
      <c r="G5" t="str">
        <f>IF($M5="","",IF('Adient EDI Form'!$I$27="ANSI_x12",_xlfn.IFNA(VLOOKUP('Adient EDI Form'!$J$12,'Plant Listing'!B:F,6,FALSE)," ")," "))</f>
        <v/>
      </c>
      <c r="H5" t="str">
        <f>IF($M5="","",IF('Adient EDI Form'!$I$27="ANSI_x12","01"," "))</f>
        <v/>
      </c>
      <c r="I5" t="str">
        <f>IF($M5="","",IF('Adient EDI Form'!$I$27&lt;&gt;"ANSI_x12",_xlfn.IFNA(VLOOKUP('Adient EDI Form'!$J$12,'Plant Listing'!B:L,11,FALSE)," ")," "))</f>
        <v/>
      </c>
      <c r="J5" t="str">
        <f>IF($M5="","",IF('Adient EDI Form'!$I$27&lt;&gt;"ANSI_x12",_xlfn.IFNA(VLOOKUP('Adient EDI Form'!$J$12,'Plant Listing'!B:J,9,FALSE)," "),_xlfn.IFNA(VLOOKUP('Adient EDI Form'!$J$12,'Plant Listing'!B:I,6,FALSE)," ")))</f>
        <v/>
      </c>
      <c r="K5" s="61" t="str">
        <f>IF('Adient EDI Form'!$I$27="Web_EDI"," ",IF($M5="","",IF('Adient EDI Form'!$I$27 = "ANSI_x12"," ","01")))</f>
        <v/>
      </c>
      <c r="L5" t="str">
        <f>IF($M5="","",'Adient EDI Form'!$H$62)</f>
        <v/>
      </c>
      <c r="M5" s="55" t="str">
        <f>IF(ISBLANK('Adient EDI Form'!$D$65), "",'Adient EDI Form'!$D$65)</f>
        <v/>
      </c>
      <c r="N5" s="55" t="str">
        <f>IF($M5="","",'Adient EDI Form'!$K$62)</f>
        <v/>
      </c>
      <c r="O5" s="53"/>
      <c r="P5" s="55" t="str">
        <f>IF($M5="","",IF('Adient EDI Form'!$D$27="OFTP2",$M$2&amp;"_"&amp;$A$2," "))</f>
        <v/>
      </c>
      <c r="Q5" s="55" t="str">
        <f>IF($M5="","",'Adient EDI Form'!$K$63)</f>
        <v/>
      </c>
      <c r="R5" s="55" t="str">
        <f t="shared" si="0"/>
        <v/>
      </c>
      <c r="S5" s="54"/>
      <c r="T5" s="53"/>
      <c r="U5" s="53"/>
      <c r="V5" s="53"/>
      <c r="W5" s="54"/>
      <c r="X5" s="54"/>
      <c r="Y5" t="str">
        <f>IF($M5="","",'Adient EDI Form'!$D$12)</f>
        <v/>
      </c>
    </row>
    <row r="6" spans="1:26" x14ac:dyDescent="0.25">
      <c r="A6" s="24" t="str">
        <f>IF($M6="","",'Adient EDI Form'!$I$27)</f>
        <v/>
      </c>
      <c r="B6" t="str">
        <f>IF($M6="","",'Adient EDI Form'!$K$52)</f>
        <v/>
      </c>
      <c r="C6" t="str">
        <f>IF($M6="","",'Adient EDI Form'!$K$50)</f>
        <v/>
      </c>
      <c r="D6" t="str">
        <f>IF($M6="","",'Adient EDI Form'!$K$51)</f>
        <v/>
      </c>
      <c r="E6" t="str">
        <f>IF($M6="","",'Adient EDI Form'!$K$49)</f>
        <v/>
      </c>
      <c r="F6" s="61" t="str">
        <f>IF($M6="","",'Adient EDI Form'!$K$50)</f>
        <v/>
      </c>
      <c r="G6" t="str">
        <f>IF($M6="","",IF('Adient EDI Form'!$I$27="ANSI_x12",_xlfn.IFNA(VLOOKUP('Adient EDI Form'!$J$12,'Plant Listing'!B:F,6,FALSE)," ")," "))</f>
        <v/>
      </c>
      <c r="H6" t="str">
        <f>IF($M6="","",IF('Adient EDI Form'!$I$27="ANSI_x12","01"," "))</f>
        <v/>
      </c>
      <c r="I6" t="str">
        <f>IF($M6="","",IF('Adient EDI Form'!$I$27&lt;&gt;"ANSI_x12",_xlfn.IFNA(VLOOKUP('Adient EDI Form'!$J$12,'Plant Listing'!B:L,11,FALSE)," ")," "))</f>
        <v/>
      </c>
      <c r="J6" t="str">
        <f>IF($M6="","",IF('Adient EDI Form'!$I$27&lt;&gt;"ANSI_x12",_xlfn.IFNA(VLOOKUP('Adient EDI Form'!$J$12,'Plant Listing'!B:J,9,FALSE)," "),_xlfn.IFNA(VLOOKUP('Adient EDI Form'!$J$12,'Plant Listing'!B:I,6,FALSE)," ")))</f>
        <v/>
      </c>
      <c r="K6" s="61" t="str">
        <f>IF('Adient EDI Form'!$I$27="Web_EDI"," ",IF($M6="","",IF('Adient EDI Form'!$I$27 = "ANSI_x12"," ","01")))</f>
        <v/>
      </c>
      <c r="L6" t="str">
        <f>IF($M6="","",'Adient EDI Form'!$H$62)</f>
        <v/>
      </c>
      <c r="M6" s="55" t="str">
        <f>IF(ISBLANK('Adient EDI Form'!$D$66), "",'Adient EDI Form'!$D$66)</f>
        <v/>
      </c>
      <c r="N6" s="55" t="str">
        <f>IF($M6="","",'Adient EDI Form'!$K$62)</f>
        <v/>
      </c>
      <c r="O6" s="53"/>
      <c r="P6" s="55" t="str">
        <f>IF($M6="","",IF('Adient EDI Form'!$D$27="OFTP2",$M$2&amp;"_"&amp;$A$2," "))</f>
        <v/>
      </c>
      <c r="Q6" s="55" t="str">
        <f>IF($M6="","",'Adient EDI Form'!$K$63)</f>
        <v/>
      </c>
      <c r="R6" s="55" t="str">
        <f t="shared" si="0"/>
        <v/>
      </c>
      <c r="S6" s="54"/>
      <c r="T6" s="53"/>
      <c r="U6" s="53"/>
      <c r="V6" s="53"/>
      <c r="W6" s="54"/>
      <c r="X6" s="54"/>
      <c r="Y6" t="str">
        <f>IF($M6="","",'Adient EDI Form'!$D$12)</f>
        <v/>
      </c>
    </row>
    <row r="7" spans="1:26" x14ac:dyDescent="0.25">
      <c r="A7" s="24" t="str">
        <f>IF($M7="","",'Adient EDI Form'!$I$27)</f>
        <v/>
      </c>
      <c r="B7" t="str">
        <f>IF($M7="","",'Adient EDI Form'!$K$52)</f>
        <v/>
      </c>
      <c r="C7" t="str">
        <f>IF($M7="","",'Adient EDI Form'!$K$50)</f>
        <v/>
      </c>
      <c r="D7" t="str">
        <f>IF($M7="","",'Adient EDI Form'!$K$51)</f>
        <v/>
      </c>
      <c r="E7" t="str">
        <f>IF($M7="","",'Adient EDI Form'!$K$49)</f>
        <v/>
      </c>
      <c r="F7" s="61" t="str">
        <f>IF($M7="","",'Adient EDI Form'!$K$50)</f>
        <v/>
      </c>
      <c r="G7" t="str">
        <f>IF($M7="","",IF('Adient EDI Form'!$I$27="ANSI_x12",_xlfn.IFNA(VLOOKUP('Adient EDI Form'!$J$12,'Plant Listing'!B:F,6,FALSE)," ")," "))</f>
        <v/>
      </c>
      <c r="H7" t="str">
        <f>IF($M7="","",IF('Adient EDI Form'!$I$27="ANSI_x12","01"," "))</f>
        <v/>
      </c>
      <c r="I7" t="str">
        <f>IF($M7="","",IF('Adient EDI Form'!$I$27&lt;&gt;"ANSI_x12",_xlfn.IFNA(VLOOKUP('Adient EDI Form'!$J$12,'Plant Listing'!B:L,11,FALSE)," ")," "))</f>
        <v/>
      </c>
      <c r="J7" t="str">
        <f>IF($M7="","",IF('Adient EDI Form'!$I$27&lt;&gt;"ANSI_x12",_xlfn.IFNA(VLOOKUP('Adient EDI Form'!$J$12,'Plant Listing'!B:J,9,FALSE)," "),_xlfn.IFNA(VLOOKUP('Adient EDI Form'!$J$12,'Plant Listing'!B:I,6,FALSE)," ")))</f>
        <v/>
      </c>
      <c r="K7" s="61" t="str">
        <f>IF('Adient EDI Form'!$I$27="Web_EDI"," ",IF($M7="","",IF('Adient EDI Form'!$I$27 = "ANSI_x12"," ","01")))</f>
        <v/>
      </c>
      <c r="L7" t="str">
        <f>IF($M7="","",'Adient EDI Form'!$H$62)</f>
        <v/>
      </c>
      <c r="M7" s="55" t="str">
        <f>IF(ISBLANK('Adient EDI Form'!$D$67), "",'Adient EDI Form'!$D$67)</f>
        <v/>
      </c>
      <c r="N7" s="55" t="str">
        <f>IF($M7="","",'Adient EDI Form'!$K$62)</f>
        <v/>
      </c>
      <c r="O7" s="53"/>
      <c r="P7" s="55" t="str">
        <f>IF($M7="","",IF('Adient EDI Form'!$D$27="OFTP2",$M$2&amp;"_"&amp;$A$2," "))</f>
        <v/>
      </c>
      <c r="Q7" s="55" t="str">
        <f>IF($M7="","",'Adient EDI Form'!$K$63)</f>
        <v/>
      </c>
      <c r="R7" s="55" t="str">
        <f t="shared" si="0"/>
        <v/>
      </c>
      <c r="S7" s="54"/>
      <c r="T7" s="53"/>
      <c r="U7" s="53"/>
      <c r="V7" s="53"/>
      <c r="W7" s="54"/>
      <c r="X7" s="54"/>
      <c r="Y7" t="str">
        <f>IF($M7="","",'Adient EDI Form'!$D$12)</f>
        <v/>
      </c>
    </row>
    <row r="9" spans="1:26" x14ac:dyDescent="0.25">
      <c r="A9" s="68" t="str">
        <f>IF('Adient EDI Form'!$D$12="Intercompany",A2,"")</f>
        <v/>
      </c>
      <c r="B9" s="4" t="str">
        <f>IF('Adient EDI Form'!$D$12="Intercompany",G2,"")</f>
        <v/>
      </c>
      <c r="C9" s="4" t="str">
        <f>IF('Adient EDI Form'!$D$12="Intercompany",H2,"")</f>
        <v/>
      </c>
      <c r="D9" s="73" t="str">
        <f>IF('Adient EDI Form'!$D$12="Intercompany",I2,"")</f>
        <v/>
      </c>
      <c r="E9" s="4" t="str">
        <f>IF('Adient EDI Form'!$D$12="Intercompany",'Adient EDI Form'!K29,"")</f>
        <v/>
      </c>
      <c r="F9" s="4" t="str">
        <f>IF('Adient EDI Form'!$D$12="Intercompany",'Adient EDI Form'!$K$30,"")</f>
        <v/>
      </c>
      <c r="G9" s="4" t="str">
        <f>IF('Adient EDI Form'!$D$12="Intercompany",$B$2,"")</f>
        <v/>
      </c>
      <c r="H9" s="4" t="str">
        <f>IF('Adient EDI Form'!$D$12="Intercompany",$C$2,"")</f>
        <v/>
      </c>
      <c r="I9" s="4" t="str">
        <f>IF('Adient EDI Form'!$D$12="Intercompany",$D$2,"")</f>
        <v/>
      </c>
      <c r="J9" s="4" t="str">
        <f>IF('Adient EDI Form'!$D$12="Intercompany",IF('Adient EDI Form'!$I$27&lt;&gt;"ANSI_x12",VLOOKUP('Adient EDI Form'!$D$16,'Plant Listing'!$B:$J,9,FALSE),VLOOKUP('Adient EDI Form'!$D$16,'Plant Listing'!$B:$J,6,FALSE))," ")</f>
        <v xml:space="preserve"> </v>
      </c>
      <c r="K9" s="4" t="str">
        <f>IF('Adient EDI Form'!$D$12="Intercompany",IF('Adient EDI Form'!$I$27&lt;&gt;"ANSI_x12","01"," ")," ")</f>
        <v xml:space="preserve"> </v>
      </c>
      <c r="L9" s="4" t="str">
        <f>IF('Adient EDI Form'!$D$12="Intercompany",$L$3," ")</f>
        <v xml:space="preserve"> </v>
      </c>
      <c r="M9" s="4" t="str">
        <f>IF('Adient EDI Form'!$D$12="Intercompany",$M$3," ")</f>
        <v xml:space="preserve"> </v>
      </c>
      <c r="N9" s="4" t="str">
        <f>IF('Adient EDI Form'!$D$12="Intercompany",$N$2," ")</f>
        <v xml:space="preserve"> </v>
      </c>
      <c r="P9" s="4" t="str">
        <f>IF('Adient EDI Form'!$D$12="Intercompany",IF('Adient EDI Form'!$D$27="OFTP2",$M$2&amp;"-"&amp;$I$2," ")," ")</f>
        <v xml:space="preserve"> </v>
      </c>
      <c r="Q9" s="4" t="str">
        <f>IF('Adient EDI Form'!$D$12="Intercompany",$Q$2," ")</f>
        <v xml:space="preserve"> </v>
      </c>
      <c r="R9" s="4" t="str">
        <f>IF('Adient EDI Form'!$D$12="Intercompany",R$2," ")</f>
        <v xml:space="preserve"> </v>
      </c>
      <c r="S9" s="4"/>
      <c r="T9" s="4"/>
      <c r="U9" s="4"/>
      <c r="V9" s="4"/>
      <c r="W9" s="4"/>
      <c r="X9" s="4"/>
      <c r="Y9" s="4" t="str">
        <f>IF('Adient EDI Form'!$D$12="Intercompany",Y$2," ")</f>
        <v xml:space="preserve"> </v>
      </c>
    </row>
    <row r="10" spans="1:26" x14ac:dyDescent="0.25">
      <c r="A10" s="68" t="str">
        <f>IF('Adient EDI Form'!$D$12="Intercompany",A3,"")</f>
        <v/>
      </c>
      <c r="B10" s="4" t="str">
        <f>IF('Adient EDI Form'!$D$12="Intercompany",G3,"")</f>
        <v/>
      </c>
      <c r="C10" s="4" t="str">
        <f>IF('Adient EDI Form'!$D$12="Intercompany",H3,"")</f>
        <v/>
      </c>
      <c r="D10" s="73" t="str">
        <f>IF('Adient EDI Form'!$D$12="Intercompany",I3,"")</f>
        <v/>
      </c>
      <c r="E10" s="4" t="str">
        <f>IF('Adient EDI Form'!$D$12="Intercompany",'Adient EDI Form'!K29,"")</f>
        <v/>
      </c>
      <c r="F10" s="4" t="str">
        <f>IF('Adient EDI Form'!$D$12="Intercompany",'Adient EDI Form'!$K$30,"")</f>
        <v/>
      </c>
      <c r="G10" s="4" t="str">
        <f>IF('Adient EDI Form'!$D$12="Intercompany",$B$2,"")</f>
        <v/>
      </c>
      <c r="H10" s="4" t="str">
        <f>IF('Adient EDI Form'!$D$12="Intercompany",$C$2,"")</f>
        <v/>
      </c>
      <c r="I10" s="4" t="str">
        <f>IF('Adient EDI Form'!$D$12="Intercompany",$D$2,"")</f>
        <v/>
      </c>
      <c r="J10" s="4" t="str">
        <f>IF('Adient EDI Form'!$D$12="Intercompany",IF('Adient EDI Form'!$I$27&lt;&gt;"ANSI_x12",VLOOKUP('Adient EDI Form'!$D$16,'Plant Listing'!$B:$J,9,FALSE),VLOOKUP('Adient EDI Form'!$D$16,'Plant Listing'!$B:$J,6,FALSE))," ")</f>
        <v xml:space="preserve"> </v>
      </c>
      <c r="K10" s="4" t="str">
        <f>IF('Adient EDI Form'!$D$12="Intercompany",IF('Adient EDI Form'!$I$27&lt;&gt;"ANSI_x12","01"," ")," ")</f>
        <v xml:space="preserve"> </v>
      </c>
      <c r="L10" s="4" t="str">
        <f>IF('Adient EDI Form'!$D$12="Intercompany",$L$2," ")</f>
        <v xml:space="preserve"> </v>
      </c>
      <c r="M10" s="4" t="str">
        <f>IF('Adient EDI Form'!$D$12="Intercompany",$M$2," ")</f>
        <v xml:space="preserve"> </v>
      </c>
      <c r="N10" s="4" t="str">
        <f>IF('Adient EDI Form'!$D$12="Intercompany",$N$2," ")</f>
        <v xml:space="preserve"> </v>
      </c>
      <c r="P10" s="4" t="str">
        <f>IF('Adient EDI Form'!$D$12="Intercompany",IF('Adient EDI Form'!$D$27="OFTP2",$M$2&amp;"-"&amp;$I$2," ")," ")</f>
        <v xml:space="preserve"> </v>
      </c>
      <c r="Q10" s="4" t="str">
        <f>IF('Adient EDI Form'!$D$12="Intercompany",$Q$2," ")</f>
        <v xml:space="preserve"> </v>
      </c>
      <c r="R10" s="4" t="str">
        <f>IF('Adient EDI Form'!$D$12="Intercompany",R$2," ")</f>
        <v xml:space="preserve"> </v>
      </c>
      <c r="Y10" s="4" t="str">
        <f>IF('Adient EDI Form'!$D$12="Intercompany",Y$2," ")</f>
        <v xml:space="preserve"> </v>
      </c>
    </row>
  </sheetData>
  <sheetProtection algorithmName="SHA-512" hashValue="PS64DkKLvdcX70bGZlwua2dpowLXg2UBblhm/FOqBtrhrH5btxkDumvPRs9U6pMHSMXKHFTMr6PMVPL2JG5r7Q==" saltValue="WeCl0inIWNfJciR5dB5eQg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ignoredErrors>
    <ignoredError sqref="A9:R10 Y9:Y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5"/>
  <sheetViews>
    <sheetView workbookViewId="0">
      <selection activeCell="B6" sqref="B6"/>
    </sheetView>
  </sheetViews>
  <sheetFormatPr defaultRowHeight="15" x14ac:dyDescent="0.25"/>
  <cols>
    <col min="4" max="4" width="14.42578125" customWidth="1"/>
  </cols>
  <sheetData>
    <row r="1" spans="1:5" x14ac:dyDescent="0.25">
      <c r="A1" t="s">
        <v>59</v>
      </c>
      <c r="B1" t="s">
        <v>60</v>
      </c>
      <c r="C1" t="s">
        <v>61</v>
      </c>
      <c r="D1" t="s">
        <v>62</v>
      </c>
    </row>
    <row r="2" spans="1:5" x14ac:dyDescent="0.25">
      <c r="A2">
        <v>830</v>
      </c>
      <c r="B2" t="s">
        <v>63</v>
      </c>
      <c r="C2" t="s">
        <v>64</v>
      </c>
      <c r="D2" t="s">
        <v>65</v>
      </c>
      <c r="E2" t="str">
        <f>IF(VLOOKUP('Adient EDI Form'!$L$12,'Plant Listing'!$C:$I,7,FALSE)="NA",A2,C2)</f>
        <v>DELINS</v>
      </c>
    </row>
    <row r="3" spans="1:5" x14ac:dyDescent="0.25">
      <c r="A3">
        <v>856</v>
      </c>
      <c r="B3" t="s">
        <v>66</v>
      </c>
      <c r="C3" t="s">
        <v>67</v>
      </c>
      <c r="D3" t="s">
        <v>68</v>
      </c>
      <c r="E3" t="str">
        <f>IF(VLOOKUP('Adient EDI Form'!$L$12,'Plant Listing'!$C:$I,7,FALSE)="NA",A3,C3)</f>
        <v>AVIEXP</v>
      </c>
    </row>
    <row r="4" spans="1:5" x14ac:dyDescent="0.25">
      <c r="A4">
        <v>862</v>
      </c>
      <c r="B4" t="s">
        <v>69</v>
      </c>
    </row>
    <row r="5" spans="1:5" x14ac:dyDescent="0.25">
      <c r="B5" t="s">
        <v>70</v>
      </c>
    </row>
  </sheetData>
  <pageMargins left="0.7" right="0.7" top="0.75" bottom="0.75" header="0.3" footer="0.3"/>
  <pageSetup orientation="portrait" r:id="rId1"/>
  <headerFooter>
    <oddFooter>&amp;C&amp;1#&amp;"Calibri"&amp;10&amp;K000000Adient –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4"/>
  <sheetViews>
    <sheetView workbookViewId="0">
      <selection activeCell="A2" sqref="A2"/>
    </sheetView>
  </sheetViews>
  <sheetFormatPr defaultRowHeight="15" x14ac:dyDescent="0.25"/>
  <cols>
    <col min="1" max="1" width="15.140625" customWidth="1"/>
    <col min="2" max="2" width="18.5703125" bestFit="1" customWidth="1"/>
    <col min="3" max="3" width="18.42578125" customWidth="1"/>
    <col min="4" max="4" width="41.140625" customWidth="1"/>
    <col min="6" max="6" width="40.5703125" customWidth="1"/>
    <col min="7" max="7" width="11.5703125" customWidth="1"/>
    <col min="8" max="8" width="16" bestFit="1" customWidth="1"/>
    <col min="10" max="10" width="14.85546875" bestFit="1" customWidth="1"/>
    <col min="14" max="14" width="51.42578125" customWidth="1"/>
    <col min="15" max="15" width="21.5703125" customWidth="1"/>
    <col min="16" max="16" width="96.140625" customWidth="1"/>
    <col min="18" max="18" width="19.140625" customWidth="1"/>
  </cols>
  <sheetData>
    <row r="1" spans="1:24" ht="24" x14ac:dyDescent="0.25">
      <c r="A1" s="10" t="s">
        <v>13</v>
      </c>
      <c r="B1" t="s">
        <v>14</v>
      </c>
    </row>
    <row r="2" spans="1:24" ht="39" x14ac:dyDescent="0.25">
      <c r="A2" s="10" t="s">
        <v>71</v>
      </c>
      <c r="B2" t="s">
        <v>72</v>
      </c>
      <c r="C2" s="12" t="s">
        <v>73</v>
      </c>
      <c r="D2" t="s">
        <v>1197</v>
      </c>
      <c r="E2" t="s">
        <v>74</v>
      </c>
      <c r="F2">
        <v>443</v>
      </c>
      <c r="G2" t="s">
        <v>75</v>
      </c>
      <c r="H2" t="s">
        <v>1198</v>
      </c>
      <c r="I2" t="s">
        <v>76</v>
      </c>
      <c r="J2" t="s">
        <v>1199</v>
      </c>
      <c r="K2" t="s">
        <v>77</v>
      </c>
      <c r="L2" t="s">
        <v>78</v>
      </c>
      <c r="M2" t="s">
        <v>79</v>
      </c>
      <c r="N2" t="s">
        <v>1200</v>
      </c>
      <c r="O2" t="s">
        <v>80</v>
      </c>
      <c r="P2" s="106" t="str">
        <f>"https://adient.portal.covisint.com/assets/adient/documents/Supplier%20Expectations/Adient%20Web%20Guides/EDI%20questionnaire%20%E2%80%94%20To%20be%20completed%20by%20Adient%20and%20supplier%20when%20onboarding%20to%20EDI/"&amp;IF('Adient EDI Form'!M12="EU","Adient-SEEBURGER-Certificates-OFTP_AS2.zip","Opentext_Certificates0724.zip")</f>
        <v>https://adient.portal.covisint.com/assets/adient/documents/Supplier%20Expectations/Adient%20Web%20Guides/EDI%20questionnaire%20%E2%80%94%20To%20be%20completed%20by%20Adient%20and%20supplier%20when%20onboarding%20to%20EDI/Opentext_Certificates0724.zip</v>
      </c>
    </row>
    <row r="3" spans="1:24" ht="24" x14ac:dyDescent="0.25">
      <c r="A3" s="10" t="s">
        <v>81</v>
      </c>
      <c r="B3" t="s">
        <v>82</v>
      </c>
      <c r="C3" s="13" t="s">
        <v>83</v>
      </c>
      <c r="D3" s="14" t="s">
        <v>1201</v>
      </c>
      <c r="E3" t="s">
        <v>84</v>
      </c>
      <c r="F3" s="15" t="str">
        <f>IF('Adient EDI Form'!L12="Plant Id","Select Plant Above",VLOOKUP('Adient EDI Form'!L12,'Plant Listing'!C:D,2,FALSE))</f>
        <v>Select Plant Above</v>
      </c>
      <c r="G3" t="s">
        <v>85</v>
      </c>
      <c r="H3" t="s">
        <v>1194</v>
      </c>
      <c r="I3" t="s">
        <v>86</v>
      </c>
      <c r="J3" t="s">
        <v>1195</v>
      </c>
      <c r="K3" t="s">
        <v>87</v>
      </c>
      <c r="L3" t="s">
        <v>1196</v>
      </c>
      <c r="M3" t="s">
        <v>88</v>
      </c>
      <c r="N3" s="15" t="s">
        <v>89</v>
      </c>
      <c r="O3" t="s">
        <v>90</v>
      </c>
      <c r="P3" t="s">
        <v>1127</v>
      </c>
      <c r="Q3" t="s">
        <v>80</v>
      </c>
      <c r="R3" s="11" t="str">
        <f>"https://adient.portal.covisint.com/assets/adient/documents/Supplier%20Expectations/Adient%20Web%20Guides/EDI%20questionnaire%20%E2%80%94%20To%20be%20completed%20by%20Adient%20and%20supplier%20when%20onboarding%20to%20EDI/"&amp;IF('Adient EDI Form'!M12="EU","Adient-SEEBURGER-Certificates-OFTP_AS2.zip","Opentext_Certificates0724.zip")</f>
        <v>https://adient.portal.covisint.com/assets/adient/documents/Supplier%20Expectations/Adient%20Web%20Guides/EDI%20questionnaire%20%E2%80%94%20To%20be%20completed%20by%20Adient%20and%20supplier%20when%20onboarding%20to%20EDI/Opentext_Certificates0724.zip</v>
      </c>
      <c r="S3" t="s">
        <v>91</v>
      </c>
      <c r="T3" t="s">
        <v>92</v>
      </c>
      <c r="U3" t="s">
        <v>93</v>
      </c>
      <c r="V3" t="s">
        <v>94</v>
      </c>
      <c r="W3" t="s">
        <v>95</v>
      </c>
      <c r="X3" t="s">
        <v>96</v>
      </c>
    </row>
    <row r="4" spans="1:24" x14ac:dyDescent="0.25">
      <c r="B4" t="s">
        <v>62</v>
      </c>
    </row>
  </sheetData>
  <sortState xmlns:xlrd2="http://schemas.microsoft.com/office/spreadsheetml/2017/richdata2" ref="B2:R4">
    <sortCondition ref="B2:B4"/>
  </sortState>
  <hyperlinks>
    <hyperlink ref="R3" r:id="rId1" display="https://www.adient.com/wp-content/uploads/2022/07/OpenText-BIZLINK-Certificate-p11oftp.tgms_.gxs_.com_Apr2023.zip" xr:uid="{14876A0C-1313-4A44-B6DA-27DE11C99BF8}"/>
  </hyperlinks>
  <pageMargins left="0.7" right="0.7" top="0.75" bottom="0.75" header="0.3" footer="0.3"/>
  <pageSetup orientation="portrait" r:id="rId2"/>
  <headerFooter>
    <oddFooter>&amp;C&amp;1#&amp;"Calibri"&amp;10&amp;K000000Adient –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X17"/>
  <sheetViews>
    <sheetView zoomScale="115" zoomScaleNormal="115" workbookViewId="0">
      <selection activeCell="A13" sqref="A13"/>
    </sheetView>
  </sheetViews>
  <sheetFormatPr defaultRowHeight="15" x14ac:dyDescent="0.25"/>
  <cols>
    <col min="1" max="1" width="3.85546875" customWidth="1"/>
    <col min="2" max="2" width="1.42578125" customWidth="1"/>
    <col min="3" max="3" width="24.140625" customWidth="1"/>
    <col min="4" max="4" width="18.140625" customWidth="1"/>
    <col min="5" max="5" width="28.42578125" customWidth="1"/>
    <col min="6" max="6" width="23" customWidth="1"/>
    <col min="7" max="7" width="14.5703125" customWidth="1"/>
    <col min="8" max="8" width="16.5703125" bestFit="1" customWidth="1"/>
    <col min="9" max="9" width="16.5703125" customWidth="1"/>
    <col min="10" max="10" width="16.85546875" customWidth="1"/>
    <col min="11" max="11" width="15.140625" bestFit="1" customWidth="1"/>
    <col min="12" max="12" width="20.140625" bestFit="1" customWidth="1"/>
    <col min="13" max="13" width="9.42578125" customWidth="1"/>
    <col min="14" max="14" width="26.42578125" customWidth="1"/>
    <col min="15" max="15" width="24.140625" customWidth="1"/>
    <col min="16" max="16" width="32.42578125" customWidth="1"/>
    <col min="18" max="18" width="11.85546875" customWidth="1"/>
  </cols>
  <sheetData>
    <row r="1" spans="3:24" x14ac:dyDescent="0.25">
      <c r="C1" s="64" t="s">
        <v>97</v>
      </c>
      <c r="D1" s="64" t="s">
        <v>98</v>
      </c>
      <c r="E1" s="62" t="s">
        <v>99</v>
      </c>
      <c r="F1" s="62" t="s">
        <v>100</v>
      </c>
      <c r="G1" s="62" t="s">
        <v>101</v>
      </c>
      <c r="H1" s="62" t="s">
        <v>102</v>
      </c>
      <c r="I1" s="62" t="s">
        <v>103</v>
      </c>
      <c r="J1" s="62" t="s">
        <v>104</v>
      </c>
      <c r="K1" s="62" t="s">
        <v>105</v>
      </c>
      <c r="L1" s="62" t="s">
        <v>106</v>
      </c>
      <c r="M1" s="62" t="s">
        <v>107</v>
      </c>
      <c r="N1" s="62" t="s">
        <v>108</v>
      </c>
      <c r="O1" s="62" t="s">
        <v>109</v>
      </c>
      <c r="P1" s="63" t="s">
        <v>110</v>
      </c>
      <c r="Q1" s="63" t="s">
        <v>111</v>
      </c>
      <c r="R1" s="63" t="s">
        <v>112</v>
      </c>
    </row>
    <row r="2" spans="3:24" x14ac:dyDescent="0.25">
      <c r="C2" t="str">
        <f>IF('Adient EDI Form'!$D$14=""," ",'Adient EDI Form'!$D$14)</f>
        <v xml:space="preserve"> </v>
      </c>
      <c r="D2" t="str">
        <f>IF(ADIENT_master_starter!$M2="","",IF('Adient EDI Form'!$D$12="","",'Adient EDI Form'!$D$12))</f>
        <v/>
      </c>
      <c r="E2" t="str">
        <f>IF('Adient EDI Form'!$I$27="Web_EDI",'Adient EDI Form'!$D$14,ADIENT_master_starter!$B$2)</f>
        <v/>
      </c>
      <c r="F2" s="65" t="str">
        <f>IF('Adient EDI Form'!$D$14="","",'Adient EDI Form'!$D$14)</f>
        <v/>
      </c>
      <c r="G2" t="str">
        <f>IF(ADIENT_master_starter!$M2="","",IF('Adient EDI Form'!$I$27="Odette","DELINS",IF('Adient EDI Form'!$I$27="EDIFACT","DELFOR",IF('Adient EDI Form'!$I$27="ANSI_X12","X 12",IF('Adient EDI Form'!$I$27="Web_EDI","DELINS","Missing value")))))</f>
        <v/>
      </c>
      <c r="H2" s="67" t="str">
        <f>IF(ADIENT_master_starter!$M2="","",IF('Adient EDI Form'!$I$27="Odette","3",IF('Adient EDI Form'!$I$27="EDIFACT"," ",IF('Adient EDI Form'!$I$27="ANSI_X12","not defined",IF('Adient EDI Form'!$I$27="Web_EDI","3","Missing value")))))</f>
        <v/>
      </c>
      <c r="I2" s="67" t="str">
        <f>IF(LEFT(ADIENT_master_starter!$M$2,1)="D","D",IF(LEFT(ADIENT_master_starter!$M$2,1)="O","O",IF(LEFT(ADIENT_master_starter!$M$2,1)="A","A","")))</f>
        <v/>
      </c>
      <c r="J2" t="str">
        <f>IF('Adient EDI Form'!$D$14="","",'Adient EDI Form'!$D$14)</f>
        <v/>
      </c>
      <c r="K2" t="str">
        <f>IF(ADIENT_master_starter!$M2="","",IF('Adient EDI Form'!$I$27="Odette","DELINS",IF('Adient EDI Form'!$I$27="EDIFACT","DELFOR",IF('Adient EDI Form'!$I$27="ANSI_X12","X 12",IF('Adient EDI Form'!$I$27="Web_EDI","DELINS","Missing value")))))</f>
        <v/>
      </c>
      <c r="L2" t="str">
        <f>IF(ADIENT_master_starter!$M2="","",IF('Adient EDI Form'!$I$27="Web_EDI",Format!#REF!,IF('Adient EDI Form'!$I$27="ANSI_x12",_xlfn.IFNA(VLOOKUP('Adient EDI Form'!$J$12,'Plant Listing'!$B:$J,6,FALSE)," "),'Adient EDI Form'!$K$29)))</f>
        <v/>
      </c>
      <c r="M2" t="str">
        <f>IF(ADIENT_master_starter!$M2="","",IF(ADIENT_master_starter!$I$2="","Missing data",ADIENT_master_starter!$I$2))</f>
        <v/>
      </c>
      <c r="N2" t="str">
        <f>IF('Adient EDI Form'!$I$27="Web_EDI",'Adient EDI Form'!$D$14,'Adient EDI Form'!$K$49)</f>
        <v xml:space="preserve"> </v>
      </c>
      <c r="O2" t="str">
        <f>IF('Adient EDI Form'!$I$27="Web_EDI"," ",'Adient EDI Form'!$K$51)</f>
        <v xml:space="preserve"> </v>
      </c>
      <c r="P2" t="str">
        <f>IF(ADIENT_master_starter!$M2="","",$C$2&amp;"_"&amp;'Adient ERP'!$Q$2&amp;ADIENT_master_starter!$M$2&amp;ADIENT_master_starter!$L$2)</f>
        <v/>
      </c>
      <c r="Q2" t="str">
        <f>IF(ADIENT_master_starter!$M2="","",IF('Adient EDI Form'!$L$12&lt;"1000",RIGHT('Adient EDI Form'!$L$12,3)&amp;"01",'Adient EDI Form'!$L$12&amp;"1"))</f>
        <v/>
      </c>
      <c r="R2" t="str">
        <f>C2</f>
        <v xml:space="preserve"> </v>
      </c>
      <c r="X2" t="s">
        <v>113</v>
      </c>
    </row>
    <row r="3" spans="3:24" x14ac:dyDescent="0.25">
      <c r="C3" t="str">
        <f>IF('Adient EDI Form'!$D$14=""," ",'Adient EDI Form'!$D$14)</f>
        <v xml:space="preserve"> </v>
      </c>
      <c r="D3" t="str">
        <f>IF(ADIENT_master_starter!$M3="","",IF('Adient EDI Form'!$D$12="","",'Adient EDI Form'!$D$12))</f>
        <v/>
      </c>
      <c r="E3" t="str">
        <f>IF('Adient EDI Form'!$I$27="Web_EDI",'Adient EDI Form'!$D$14,ADIENT_master_starter!$B$2)</f>
        <v/>
      </c>
      <c r="F3" s="65" t="str">
        <f>IF('Adient EDI Form'!$D$14="","",'Adient EDI Form'!$D$14)</f>
        <v/>
      </c>
      <c r="G3" t="str">
        <f>IF(ADIENT_master_starter!$M3="","",IF('Adient EDI Form'!$I$27="Odette","DELINS",IF('Adient EDI Form'!$I$27="EDIFACT","DELFOR",IF('Adient EDI Form'!$I$27="ANSI_X12","X 12",IF('Adient EDI Form'!$I$27="Web_EDI","DELINS","Missing value")))))</f>
        <v/>
      </c>
      <c r="H3" s="67" t="str">
        <f>IF(ADIENT_master_starter!$M3="","",IF('Adient EDI Form'!$I$27="Odette","3",IF('Adient EDI Form'!$I$27="EDIFACT"," ",IF('Adient EDI Form'!$I$27="ANSI_X12","not defined",IF('Adient EDI Form'!$I$27="Web_EDI","3","Missing value")))))</f>
        <v/>
      </c>
      <c r="I3" s="67" t="str">
        <f>IF(LEFT(ADIENT_master_starter!$M$3,1)="D","D",IF(LEFT(ADIENT_master_starter!$M$3,1)="O","O",IF(LEFT(ADIENT_master_starter!$M$3,1)="A","A","")))</f>
        <v/>
      </c>
      <c r="J3" t="str">
        <f>IF('Adient EDI Form'!$D$14="","",'Adient EDI Form'!$D$14)</f>
        <v/>
      </c>
      <c r="K3" t="str">
        <f>IF(ADIENT_master_starter!$M3="","",IF('Adient EDI Form'!$I$27="Odette","DELINS",IF('Adient EDI Form'!$I$27="EDIFACT","DELFOR",IF('Adient EDI Form'!$I$27="ANSI_X12","X 12",IF('Adient EDI Form'!$I$27="Web_EDI","DELINS","Missing value")))))</f>
        <v/>
      </c>
      <c r="L3" t="str">
        <f>IF(ADIENT_master_starter!$M3="","",IF('Adient EDI Form'!$I$27="Web_EDI",Format!#REF!,IF('Adient EDI Form'!$I$27="ANSI_x12",_xlfn.IFNA(VLOOKUP('Adient EDI Form'!$J$12,'Plant Listing'!$B:$J,6,FALSE)," "),'Adient EDI Form'!$K$29)))</f>
        <v/>
      </c>
      <c r="M3" t="str">
        <f>IF(ADIENT_master_starter!$M3="","",IF(ADIENT_master_starter!$I$2="","Missing data",ADIENT_master_starter!$I$2))</f>
        <v/>
      </c>
      <c r="N3" t="str">
        <f>IF('Adient EDI Form'!$I$27="Web_EDI",'Adient EDI Form'!$D$14,'Adient EDI Form'!$K$49)</f>
        <v xml:space="preserve"> </v>
      </c>
      <c r="O3" t="str">
        <f>IF('Adient EDI Form'!$I$27="Web_EDI"," ",'Adient EDI Form'!$K$51)</f>
        <v xml:space="preserve"> </v>
      </c>
      <c r="P3" t="str">
        <f>IF(ADIENT_master_starter!$M3="","",$C$2&amp;"_"&amp;'Adient ERP'!$Q$2&amp;ADIENT_master_starter!$M$2&amp;ADIENT_master_starter!$L$2)</f>
        <v/>
      </c>
      <c r="Q3" t="str">
        <f>IF(ADIENT_master_starter!$M3="","",IF('Adient EDI Form'!$L$12&lt;"1000",RIGHT('Adient EDI Form'!$L$12,3)&amp;"01",'Adient EDI Form'!$L$12&amp;"1"))</f>
        <v/>
      </c>
      <c r="R3" t="str">
        <f>C3</f>
        <v xml:space="preserve"> </v>
      </c>
    </row>
    <row r="4" spans="3:24" x14ac:dyDescent="0.25">
      <c r="C4" t="str">
        <f>IF(ADIENT_master_starter!$M4="","",'Adient EDI Form'!$D$14)</f>
        <v/>
      </c>
      <c r="D4" t="str">
        <f>IF(ADIENT_master_starter!$M4="","",'Adient EDI Form'!$D$12)</f>
        <v/>
      </c>
      <c r="E4" t="str">
        <f>IF(ADIENT_master_starter!$M4="","",ADIENT_master_starter!$B$2)</f>
        <v/>
      </c>
      <c r="G4" t="str">
        <f>IF(ADIENT_master_starter!$M4="","",ADIENT_master_starter!$K$37)</f>
        <v/>
      </c>
      <c r="J4" t="str">
        <f>IF(ADIENT_master_starter!$M4="","",'Adient EDI Form'!$D$14)</f>
        <v/>
      </c>
      <c r="K4" t="str">
        <f>IF(ADIENT_master_starter!$M4="","",ADIENT_master_starter!$K$37)</f>
        <v/>
      </c>
      <c r="L4" t="str">
        <f>IF(ADIENT_master_starter!$M4="","",ADIENT_master_starter!$G$2)</f>
        <v/>
      </c>
      <c r="M4" t="str">
        <f>IF(ADIENT_master_starter!$M4="","",ADIENT_master_starter!#REF!)</f>
        <v/>
      </c>
      <c r="N4" t="str">
        <f>IF(ADIENT_master_starter!$M4="","",ADIENT_master_starter!$B$2)</f>
        <v/>
      </c>
      <c r="O4" t="str">
        <f>IF(ADIENT_master_starter!$M4="","",'Adient EDI Form'!$D$14)</f>
        <v/>
      </c>
    </row>
    <row r="6" spans="3:24" x14ac:dyDescent="0.25">
      <c r="P6" s="42"/>
    </row>
    <row r="15" spans="3:24" x14ac:dyDescent="0.25">
      <c r="P15" s="66"/>
    </row>
    <row r="17" spans="11:11" x14ac:dyDescent="0.25">
      <c r="K17" s="66"/>
    </row>
  </sheetData>
  <sheetProtection algorithmName="SHA-512" hashValue="Df4NcXp2DNxkO1GDaKRWMTcyL3Cc3GbMHvyEHX6cqlRj7qQ8Lq9pMuHiDWRJxUC9Xd7MJ/d/G8TvpDQSjelbuA==" saltValue="iCmJ04XNQeMV/aF0sNbkKQ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3"/>
  <sheetViews>
    <sheetView workbookViewId="0">
      <selection activeCell="B19" sqref="B19"/>
    </sheetView>
  </sheetViews>
  <sheetFormatPr defaultRowHeight="15" x14ac:dyDescent="0.25"/>
  <cols>
    <col min="1" max="1" width="25.42578125" customWidth="1"/>
    <col min="2" max="2" width="180.140625" customWidth="1"/>
  </cols>
  <sheetData>
    <row r="1" spans="1:2" x14ac:dyDescent="0.25">
      <c r="A1" t="s">
        <v>114</v>
      </c>
      <c r="B1" t="s">
        <v>115</v>
      </c>
    </row>
    <row r="2" spans="1:2" x14ac:dyDescent="0.25">
      <c r="A2" t="s">
        <v>116</v>
      </c>
      <c r="B2" t="s">
        <v>117</v>
      </c>
    </row>
    <row r="3" spans="1:2" x14ac:dyDescent="0.25">
      <c r="A3" t="s">
        <v>118</v>
      </c>
      <c r="B3" t="s">
        <v>119</v>
      </c>
    </row>
    <row r="4" spans="1:2" x14ac:dyDescent="0.25">
      <c r="A4" t="s">
        <v>120</v>
      </c>
      <c r="B4" t="s">
        <v>121</v>
      </c>
    </row>
    <row r="5" spans="1:2" x14ac:dyDescent="0.25">
      <c r="A5" t="s">
        <v>122</v>
      </c>
      <c r="B5" t="s">
        <v>123</v>
      </c>
    </row>
    <row r="6" spans="1:2" x14ac:dyDescent="0.25">
      <c r="A6" t="s">
        <v>75</v>
      </c>
      <c r="B6" t="s">
        <v>124</v>
      </c>
    </row>
    <row r="7" spans="1:2" x14ac:dyDescent="0.25">
      <c r="A7" t="s">
        <v>76</v>
      </c>
      <c r="B7" t="s">
        <v>125</v>
      </c>
    </row>
    <row r="8" spans="1:2" x14ac:dyDescent="0.25">
      <c r="A8" s="50" t="s">
        <v>126</v>
      </c>
      <c r="B8" t="s">
        <v>127</v>
      </c>
    </row>
    <row r="9" spans="1:2" x14ac:dyDescent="0.25">
      <c r="A9" t="s">
        <v>80</v>
      </c>
      <c r="B9" t="s">
        <v>128</v>
      </c>
    </row>
    <row r="10" spans="1:2" x14ac:dyDescent="0.25">
      <c r="A10" t="s">
        <v>129</v>
      </c>
      <c r="B10" t="s">
        <v>130</v>
      </c>
    </row>
    <row r="11" spans="1:2" x14ac:dyDescent="0.25">
      <c r="A11" t="s">
        <v>131</v>
      </c>
      <c r="B11" t="s">
        <v>132</v>
      </c>
    </row>
    <row r="12" spans="1:2" x14ac:dyDescent="0.25">
      <c r="A12" t="s">
        <v>133</v>
      </c>
      <c r="B12" t="s">
        <v>134</v>
      </c>
    </row>
    <row r="13" spans="1:2" x14ac:dyDescent="0.25">
      <c r="A13" t="s">
        <v>135</v>
      </c>
      <c r="B13" t="s">
        <v>136</v>
      </c>
    </row>
    <row r="14" spans="1:2" x14ac:dyDescent="0.25">
      <c r="A14" s="50" t="s">
        <v>137</v>
      </c>
      <c r="B14" t="s">
        <v>138</v>
      </c>
    </row>
    <row r="15" spans="1:2" x14ac:dyDescent="0.25">
      <c r="A15" s="50" t="s">
        <v>139</v>
      </c>
      <c r="B15" t="s">
        <v>140</v>
      </c>
    </row>
    <row r="16" spans="1:2" x14ac:dyDescent="0.25">
      <c r="A16" t="s">
        <v>141</v>
      </c>
      <c r="B16" t="s">
        <v>142</v>
      </c>
    </row>
    <row r="17" spans="1:2" x14ac:dyDescent="0.25">
      <c r="A17" t="s">
        <v>143</v>
      </c>
      <c r="B17" t="s">
        <v>144</v>
      </c>
    </row>
    <row r="18" spans="1:2" x14ac:dyDescent="0.25">
      <c r="A18" t="s">
        <v>85</v>
      </c>
      <c r="B18" t="s">
        <v>145</v>
      </c>
    </row>
    <row r="19" spans="1:2" x14ac:dyDescent="0.25">
      <c r="A19" t="s">
        <v>146</v>
      </c>
      <c r="B19" t="s">
        <v>147</v>
      </c>
    </row>
    <row r="20" spans="1:2" x14ac:dyDescent="0.25">
      <c r="A20" t="s">
        <v>148</v>
      </c>
      <c r="B20" t="s">
        <v>149</v>
      </c>
    </row>
    <row r="21" spans="1:2" x14ac:dyDescent="0.25">
      <c r="A21" t="s">
        <v>150</v>
      </c>
      <c r="B21" t="s">
        <v>151</v>
      </c>
    </row>
    <row r="22" spans="1:2" x14ac:dyDescent="0.25">
      <c r="A22" t="s">
        <v>152</v>
      </c>
      <c r="B22" t="s">
        <v>153</v>
      </c>
    </row>
    <row r="23" spans="1:2" x14ac:dyDescent="0.25">
      <c r="A23" t="s">
        <v>154</v>
      </c>
      <c r="B23" t="s">
        <v>155</v>
      </c>
    </row>
    <row r="24" spans="1:2" x14ac:dyDescent="0.25">
      <c r="A24" t="s">
        <v>90</v>
      </c>
      <c r="B24" t="s">
        <v>156</v>
      </c>
    </row>
    <row r="25" spans="1:2" x14ac:dyDescent="0.25">
      <c r="A25" s="50" t="s">
        <v>157</v>
      </c>
      <c r="B25" t="s">
        <v>158</v>
      </c>
    </row>
    <row r="26" spans="1:2" x14ac:dyDescent="0.25">
      <c r="A26" t="s">
        <v>159</v>
      </c>
      <c r="B26" t="s">
        <v>160</v>
      </c>
    </row>
    <row r="27" spans="1:2" x14ac:dyDescent="0.25">
      <c r="A27" t="s">
        <v>88</v>
      </c>
      <c r="B27" t="s">
        <v>161</v>
      </c>
    </row>
    <row r="28" spans="1:2" x14ac:dyDescent="0.25">
      <c r="A28" s="50" t="s">
        <v>18</v>
      </c>
      <c r="B28" t="s">
        <v>162</v>
      </c>
    </row>
    <row r="29" spans="1:2" x14ac:dyDescent="0.25">
      <c r="A29" t="s">
        <v>163</v>
      </c>
      <c r="B29" t="s">
        <v>164</v>
      </c>
    </row>
    <row r="30" spans="1:2" x14ac:dyDescent="0.25">
      <c r="A30" t="s">
        <v>165</v>
      </c>
      <c r="B30" t="s">
        <v>166</v>
      </c>
    </row>
    <row r="31" spans="1:2" x14ac:dyDescent="0.25">
      <c r="A31" t="s">
        <v>84</v>
      </c>
      <c r="B31" t="s">
        <v>167</v>
      </c>
    </row>
    <row r="32" spans="1:2" x14ac:dyDescent="0.25">
      <c r="A32" t="s">
        <v>83</v>
      </c>
      <c r="B32" t="s">
        <v>168</v>
      </c>
    </row>
    <row r="33" spans="1:2" x14ac:dyDescent="0.25">
      <c r="A33" t="str">
        <f>IF('Adient EDI Form'!$D$12="Supplier","Adient Vendor Name:",IF('Adient EDI Form'!$D$12="Customer","Adient Customer Name:","Supplier Plant"))</f>
        <v>Supplier Plant</v>
      </c>
      <c r="B33" t="s">
        <v>169</v>
      </c>
    </row>
    <row r="34" spans="1:2" x14ac:dyDescent="0.25">
      <c r="A34" t="str">
        <f>IF('Adient EDI Form'!$D$12="Supplier","Adient Vendor Name:",IF('Adient EDI Form'!$D$12="Customer","Adient Customer Name:","Supplier Plant #"))</f>
        <v>Supplier Plant #</v>
      </c>
      <c r="B34" t="s">
        <v>170</v>
      </c>
    </row>
    <row r="35" spans="1:2" x14ac:dyDescent="0.25">
      <c r="A35" t="s">
        <v>171</v>
      </c>
      <c r="B35" t="s">
        <v>172</v>
      </c>
    </row>
    <row r="36" spans="1:2" x14ac:dyDescent="0.25">
      <c r="A36" t="s">
        <v>173</v>
      </c>
      <c r="B36" t="s">
        <v>174</v>
      </c>
    </row>
    <row r="37" spans="1:2" x14ac:dyDescent="0.25">
      <c r="A37" t="s">
        <v>58</v>
      </c>
      <c r="B37" t="s">
        <v>175</v>
      </c>
    </row>
    <row r="38" spans="1:2" x14ac:dyDescent="0.25">
      <c r="A38" t="s">
        <v>176</v>
      </c>
      <c r="B38" t="s">
        <v>177</v>
      </c>
    </row>
    <row r="39" spans="1:2" x14ac:dyDescent="0.25">
      <c r="A39" t="s">
        <v>178</v>
      </c>
      <c r="B39" t="s">
        <v>179</v>
      </c>
    </row>
    <row r="40" spans="1:2" x14ac:dyDescent="0.25">
      <c r="A40" t="s">
        <v>180</v>
      </c>
      <c r="B40" t="s">
        <v>181</v>
      </c>
    </row>
    <row r="41" spans="1:2" x14ac:dyDescent="0.25">
      <c r="A41" t="s">
        <v>182</v>
      </c>
      <c r="B41" t="s">
        <v>183</v>
      </c>
    </row>
    <row r="42" spans="1:2" x14ac:dyDescent="0.25">
      <c r="A42" t="s">
        <v>184</v>
      </c>
      <c r="B42" t="s">
        <v>185</v>
      </c>
    </row>
    <row r="43" spans="1:2" x14ac:dyDescent="0.25">
      <c r="A43" t="s">
        <v>186</v>
      </c>
      <c r="B43" t="s">
        <v>187</v>
      </c>
    </row>
  </sheetData>
  <sheetProtection algorithmName="SHA-512" hashValue="rQaIMQmFrIBhd0QWW47295wgrxx7maoGmNke4fbyrVIgUzpuAdVfSNJB1F/Bjxg5G5j9Tdz+MIqhD3TL8+K87g==" saltValue="UrtQy1asbL9rZf61eJT/lA==" spinCount="100000" sheet="1" objects="1" scenarios="1"/>
  <sortState xmlns:xlrd2="http://schemas.microsoft.com/office/spreadsheetml/2017/richdata2" ref="A1:B45">
    <sortCondition ref="A1:A45"/>
  </sortState>
  <pageMargins left="0.7" right="0.7" top="0.75" bottom="0.75" header="0.3" footer="0.3"/>
  <pageSetup orientation="portrait" r:id="rId1"/>
  <headerFooter>
    <oddFooter>&amp;C&amp;1#&amp;"Calibri"&amp;10&amp;K000000Adient –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X134"/>
  <sheetViews>
    <sheetView zoomScale="102" zoomScaleNormal="102" workbookViewId="0">
      <pane ySplit="1" topLeftCell="A55" activePane="bottomLeft" state="frozen"/>
      <selection activeCell="H34" sqref="H34"/>
      <selection pane="bottomLeft" activeCell="A90" sqref="A90"/>
    </sheetView>
  </sheetViews>
  <sheetFormatPr defaultColWidth="9.42578125" defaultRowHeight="12.75" x14ac:dyDescent="0.2"/>
  <cols>
    <col min="1" max="1" width="9.140625" style="76"/>
    <col min="2" max="2" width="35.85546875" style="79" customWidth="1"/>
    <col min="3" max="3" width="16.42578125" style="52" customWidth="1"/>
    <col min="4" max="4" width="27.5703125" style="79" customWidth="1"/>
    <col min="5" max="5" width="8.42578125" style="52" bestFit="1" customWidth="1"/>
    <col min="6" max="6" width="4" style="52" bestFit="1" customWidth="1"/>
    <col min="7" max="7" width="10" style="52" bestFit="1" customWidth="1"/>
    <col min="8" max="8" width="11.28515625" style="52" bestFit="1" customWidth="1"/>
    <col min="9" max="9" width="6.42578125" style="79" bestFit="1" customWidth="1"/>
    <col min="10" max="10" width="27.85546875" style="82" bestFit="1" customWidth="1"/>
    <col min="11" max="11" width="27.5703125" style="79" customWidth="1"/>
    <col min="12" max="12" width="13.140625" style="79" customWidth="1"/>
    <col min="13" max="13" width="18.42578125" style="79" customWidth="1"/>
    <col min="14" max="14" width="29.5703125" style="79" customWidth="1"/>
    <col min="15" max="15" width="28.5703125" style="79" customWidth="1"/>
    <col min="16" max="16" width="19.42578125" style="82" customWidth="1"/>
    <col min="17" max="17" width="13.140625" style="79" customWidth="1"/>
    <col min="18" max="18" width="30.5703125" style="79" bestFit="1" customWidth="1"/>
    <col min="19" max="19" width="57.85546875" style="79" bestFit="1" customWidth="1"/>
    <col min="20" max="20" width="32.85546875" style="79" customWidth="1"/>
    <col min="21" max="25" width="13.140625" style="79" customWidth="1"/>
    <col min="26" max="16384" width="9.42578125" style="79"/>
  </cols>
  <sheetData>
    <row r="1" spans="1:24" x14ac:dyDescent="0.2">
      <c r="A1" s="76" t="s">
        <v>188</v>
      </c>
      <c r="B1" s="77" t="s">
        <v>4</v>
      </c>
      <c r="C1" s="78" t="s">
        <v>189</v>
      </c>
      <c r="D1" s="77" t="s">
        <v>190</v>
      </c>
      <c r="E1" s="78" t="s">
        <v>191</v>
      </c>
      <c r="F1" s="78" t="s">
        <v>192</v>
      </c>
      <c r="G1" s="78" t="s">
        <v>193</v>
      </c>
      <c r="H1" s="78" t="s">
        <v>194</v>
      </c>
      <c r="I1" s="79" t="s">
        <v>195</v>
      </c>
      <c r="J1" s="80" t="s">
        <v>196</v>
      </c>
      <c r="K1" s="77" t="s">
        <v>197</v>
      </c>
      <c r="L1" s="77" t="s">
        <v>198</v>
      </c>
      <c r="M1" s="77" t="s">
        <v>199</v>
      </c>
      <c r="N1" s="77" t="s">
        <v>200</v>
      </c>
      <c r="O1" s="77" t="s">
        <v>137</v>
      </c>
      <c r="P1" s="80" t="s">
        <v>157</v>
      </c>
      <c r="Q1" s="77" t="s">
        <v>143</v>
      </c>
      <c r="R1" s="79" t="s">
        <v>201</v>
      </c>
      <c r="S1" s="79" t="s">
        <v>202</v>
      </c>
      <c r="T1" s="79" t="s">
        <v>203</v>
      </c>
      <c r="U1" s="79" t="s">
        <v>204</v>
      </c>
      <c r="V1" s="79" t="s">
        <v>205</v>
      </c>
      <c r="W1" s="79" t="s">
        <v>206</v>
      </c>
      <c r="X1" s="79" t="s">
        <v>207</v>
      </c>
    </row>
    <row r="2" spans="1:24" x14ac:dyDescent="0.2">
      <c r="B2" s="79" t="s">
        <v>208</v>
      </c>
      <c r="C2" s="52">
        <v>2643</v>
      </c>
      <c r="D2" s="51" t="s">
        <v>1128</v>
      </c>
      <c r="F2" s="52" t="s">
        <v>209</v>
      </c>
      <c r="G2" s="81" t="s">
        <v>210</v>
      </c>
      <c r="H2" s="81" t="s">
        <v>210</v>
      </c>
      <c r="I2" s="79" t="s">
        <v>211</v>
      </c>
      <c r="K2" s="51" t="s">
        <v>1128</v>
      </c>
      <c r="M2" s="83" t="s">
        <v>212</v>
      </c>
    </row>
    <row r="3" spans="1:24" x14ac:dyDescent="0.2">
      <c r="B3" s="79" t="s">
        <v>213</v>
      </c>
      <c r="C3" s="52">
        <v>2508</v>
      </c>
      <c r="D3" s="51" t="s">
        <v>1129</v>
      </c>
      <c r="F3" s="52" t="s">
        <v>214</v>
      </c>
      <c r="G3" s="52">
        <v>812820294</v>
      </c>
      <c r="H3" s="52">
        <v>812820294</v>
      </c>
      <c r="I3" s="79" t="s">
        <v>211</v>
      </c>
      <c r="K3" s="51" t="s">
        <v>1129</v>
      </c>
      <c r="M3" s="83" t="s">
        <v>212</v>
      </c>
    </row>
    <row r="4" spans="1:24" x14ac:dyDescent="0.2">
      <c r="A4" s="76" t="s">
        <v>215</v>
      </c>
      <c r="B4" s="84" t="s">
        <v>216</v>
      </c>
      <c r="C4" s="107" t="s">
        <v>217</v>
      </c>
      <c r="D4" s="107" t="s">
        <v>1202</v>
      </c>
      <c r="E4" s="107">
        <v>167</v>
      </c>
      <c r="F4" s="107" t="s">
        <v>218</v>
      </c>
      <c r="G4" s="107">
        <v>460296791</v>
      </c>
      <c r="H4" s="107">
        <v>460296791</v>
      </c>
      <c r="I4" s="108" t="s">
        <v>219</v>
      </c>
      <c r="J4" s="109" t="s">
        <v>1014</v>
      </c>
      <c r="K4" s="107" t="s">
        <v>1202</v>
      </c>
      <c r="L4" s="86"/>
      <c r="M4" s="83" t="s">
        <v>220</v>
      </c>
      <c r="N4" s="83"/>
      <c r="O4" s="83"/>
      <c r="P4" s="87"/>
      <c r="Q4" s="83"/>
      <c r="R4" s="79" t="s">
        <v>221</v>
      </c>
      <c r="S4" s="79" t="s">
        <v>222</v>
      </c>
      <c r="T4" s="79" t="s">
        <v>223</v>
      </c>
    </row>
    <row r="5" spans="1:24" x14ac:dyDescent="0.2">
      <c r="A5" s="76" t="s">
        <v>215</v>
      </c>
      <c r="B5" s="84" t="s">
        <v>224</v>
      </c>
      <c r="C5" s="107" t="s">
        <v>225</v>
      </c>
      <c r="D5" s="107" t="s">
        <v>1203</v>
      </c>
      <c r="E5" s="107">
        <v>538</v>
      </c>
      <c r="F5" s="107" t="s">
        <v>226</v>
      </c>
      <c r="G5" s="107">
        <v>595797675</v>
      </c>
      <c r="H5" s="107">
        <v>595797675</v>
      </c>
      <c r="I5" s="108" t="s">
        <v>219</v>
      </c>
      <c r="J5" s="109" t="s">
        <v>1015</v>
      </c>
      <c r="K5" s="107" t="s">
        <v>1203</v>
      </c>
      <c r="L5" s="86"/>
      <c r="M5" s="83" t="s">
        <v>220</v>
      </c>
      <c r="N5" s="83"/>
      <c r="O5" s="83"/>
      <c r="P5" s="87"/>
      <c r="Q5" s="83"/>
      <c r="R5" s="79" t="s">
        <v>227</v>
      </c>
      <c r="S5" s="79" t="s">
        <v>228</v>
      </c>
      <c r="T5" s="79" t="s">
        <v>229</v>
      </c>
    </row>
    <row r="6" spans="1:24" x14ac:dyDescent="0.2">
      <c r="B6" s="84" t="s">
        <v>230</v>
      </c>
      <c r="C6" s="110" t="s">
        <v>1207</v>
      </c>
      <c r="D6" s="107" t="s">
        <v>1204</v>
      </c>
      <c r="E6" s="107">
        <v>667</v>
      </c>
      <c r="F6" s="107" t="s">
        <v>231</v>
      </c>
      <c r="G6" s="107"/>
      <c r="H6" s="107"/>
      <c r="I6" s="108" t="s">
        <v>219</v>
      </c>
      <c r="J6" s="109" t="s">
        <v>1016</v>
      </c>
      <c r="K6" s="107" t="s">
        <v>1204</v>
      </c>
      <c r="L6" s="86"/>
      <c r="M6" s="83" t="s">
        <v>220</v>
      </c>
      <c r="N6" s="83"/>
      <c r="O6" s="83"/>
      <c r="P6" s="87"/>
      <c r="Q6" s="83"/>
      <c r="R6" s="79" t="s">
        <v>232</v>
      </c>
      <c r="S6" s="79" t="s">
        <v>233</v>
      </c>
    </row>
    <row r="7" spans="1:24" x14ac:dyDescent="0.2">
      <c r="B7" s="79" t="s">
        <v>234</v>
      </c>
      <c r="C7" s="46" t="s">
        <v>235</v>
      </c>
      <c r="D7" s="52" t="s">
        <v>1130</v>
      </c>
      <c r="F7" s="52" t="s">
        <v>211</v>
      </c>
      <c r="G7" s="46" t="s">
        <v>236</v>
      </c>
      <c r="H7" s="46" t="s">
        <v>236</v>
      </c>
      <c r="I7" s="79" t="s">
        <v>211</v>
      </c>
      <c r="J7" s="82" t="s">
        <v>237</v>
      </c>
      <c r="K7" s="52" t="s">
        <v>1130</v>
      </c>
      <c r="M7" s="83" t="s">
        <v>212</v>
      </c>
      <c r="N7" s="83"/>
      <c r="O7" s="83"/>
      <c r="P7" s="87"/>
      <c r="Q7" s="83"/>
    </row>
    <row r="8" spans="1:24" x14ac:dyDescent="0.2">
      <c r="B8" s="79" t="s">
        <v>238</v>
      </c>
      <c r="C8" s="46" t="s">
        <v>239</v>
      </c>
      <c r="D8" s="52" t="s">
        <v>1131</v>
      </c>
      <c r="F8" s="52" t="s">
        <v>240</v>
      </c>
      <c r="G8" s="46" t="s">
        <v>241</v>
      </c>
      <c r="H8" s="46" t="s">
        <v>241</v>
      </c>
      <c r="I8" s="79" t="s">
        <v>211</v>
      </c>
      <c r="J8" s="82" t="s">
        <v>237</v>
      </c>
      <c r="K8" s="52" t="s">
        <v>1131</v>
      </c>
      <c r="M8" s="83" t="s">
        <v>212</v>
      </c>
      <c r="N8" s="83"/>
      <c r="O8" s="83"/>
      <c r="P8" s="87"/>
      <c r="Q8" s="83"/>
    </row>
    <row r="9" spans="1:24" x14ac:dyDescent="0.2">
      <c r="B9" s="79" t="s">
        <v>242</v>
      </c>
      <c r="C9" s="46" t="s">
        <v>243</v>
      </c>
      <c r="D9" s="52" t="s">
        <v>1132</v>
      </c>
      <c r="F9" s="52" t="s">
        <v>244</v>
      </c>
      <c r="G9" s="46" t="s">
        <v>245</v>
      </c>
      <c r="H9" s="46" t="s">
        <v>245</v>
      </c>
      <c r="I9" s="79" t="s">
        <v>211</v>
      </c>
      <c r="J9" s="82" t="s">
        <v>237</v>
      </c>
      <c r="K9" s="52" t="s">
        <v>1132</v>
      </c>
      <c r="M9" s="83" t="s">
        <v>212</v>
      </c>
      <c r="N9" s="83"/>
      <c r="O9" s="83"/>
      <c r="P9" s="87"/>
      <c r="Q9" s="83"/>
    </row>
    <row r="10" spans="1:24" x14ac:dyDescent="0.2">
      <c r="A10" s="76" t="s">
        <v>215</v>
      </c>
      <c r="B10" s="84" t="s">
        <v>246</v>
      </c>
      <c r="C10" s="107" t="s">
        <v>247</v>
      </c>
      <c r="D10" s="107" t="s">
        <v>1205</v>
      </c>
      <c r="E10" s="107">
        <v>647</v>
      </c>
      <c r="F10" s="107" t="s">
        <v>248</v>
      </c>
      <c r="G10" s="107"/>
      <c r="H10" s="107"/>
      <c r="I10" s="108" t="s">
        <v>219</v>
      </c>
      <c r="J10" s="109" t="s">
        <v>1017</v>
      </c>
      <c r="K10" s="107" t="s">
        <v>1205</v>
      </c>
      <c r="L10" s="86"/>
      <c r="M10" s="83" t="s">
        <v>220</v>
      </c>
      <c r="N10" s="83"/>
      <c r="O10" s="83"/>
      <c r="P10" s="87"/>
      <c r="Q10" s="83"/>
      <c r="R10" s="79" t="s">
        <v>249</v>
      </c>
      <c r="S10" s="79" t="s">
        <v>250</v>
      </c>
    </row>
    <row r="11" spans="1:24" x14ac:dyDescent="0.2">
      <c r="A11" s="76" t="s">
        <v>251</v>
      </c>
      <c r="B11" s="84" t="s">
        <v>252</v>
      </c>
      <c r="C11" s="51" t="s">
        <v>253</v>
      </c>
      <c r="D11" s="51" t="s">
        <v>1018</v>
      </c>
      <c r="E11" s="51">
        <v>1769</v>
      </c>
      <c r="F11" s="51" t="s">
        <v>254</v>
      </c>
      <c r="G11" s="51">
        <v>361478715</v>
      </c>
      <c r="H11" s="51">
        <v>361478715</v>
      </c>
      <c r="I11" s="79" t="s">
        <v>219</v>
      </c>
      <c r="J11" s="87" t="s">
        <v>1019</v>
      </c>
      <c r="K11" s="51" t="s">
        <v>1018</v>
      </c>
      <c r="L11" s="86"/>
      <c r="M11" s="83" t="s">
        <v>220</v>
      </c>
      <c r="N11" s="83"/>
      <c r="O11" s="83"/>
      <c r="P11" s="87"/>
      <c r="Q11" s="83"/>
    </row>
    <row r="12" spans="1:24" x14ac:dyDescent="0.2">
      <c r="B12" s="79" t="s">
        <v>255</v>
      </c>
      <c r="C12" s="46" t="s">
        <v>256</v>
      </c>
      <c r="D12" s="52" t="s">
        <v>1133</v>
      </c>
      <c r="F12" s="52" t="s">
        <v>257</v>
      </c>
      <c r="G12" s="46" t="s">
        <v>258</v>
      </c>
      <c r="H12" s="46" t="s">
        <v>258</v>
      </c>
      <c r="I12" s="79" t="s">
        <v>211</v>
      </c>
      <c r="J12" s="82" t="s">
        <v>237</v>
      </c>
      <c r="K12" s="52" t="s">
        <v>1133</v>
      </c>
      <c r="M12" s="83" t="s">
        <v>212</v>
      </c>
      <c r="N12" s="83"/>
      <c r="O12" s="83"/>
      <c r="P12" s="87"/>
      <c r="Q12" s="83"/>
    </row>
    <row r="13" spans="1:24" x14ac:dyDescent="0.2">
      <c r="B13" s="79" t="s">
        <v>259</v>
      </c>
      <c r="C13" s="46" t="s">
        <v>260</v>
      </c>
      <c r="D13" s="52" t="s">
        <v>1134</v>
      </c>
      <c r="F13" s="52" t="s">
        <v>261</v>
      </c>
      <c r="G13" s="46" t="s">
        <v>262</v>
      </c>
      <c r="H13" s="46" t="s">
        <v>262</v>
      </c>
      <c r="I13" s="79" t="s">
        <v>211</v>
      </c>
      <c r="J13" s="82" t="s">
        <v>237</v>
      </c>
      <c r="K13" s="52" t="s">
        <v>1134</v>
      </c>
      <c r="M13" s="83" t="s">
        <v>212</v>
      </c>
      <c r="N13" s="83"/>
      <c r="O13" s="83"/>
      <c r="P13" s="87"/>
      <c r="Q13" s="83"/>
    </row>
    <row r="14" spans="1:24" x14ac:dyDescent="0.2">
      <c r="B14" s="79" t="s">
        <v>259</v>
      </c>
      <c r="C14" s="46" t="s">
        <v>260</v>
      </c>
      <c r="D14" s="52" t="s">
        <v>1134</v>
      </c>
      <c r="F14" s="52" t="s">
        <v>261</v>
      </c>
      <c r="G14" s="46" t="s">
        <v>263</v>
      </c>
      <c r="H14" s="46" t="s">
        <v>263</v>
      </c>
      <c r="I14" s="79" t="s">
        <v>211</v>
      </c>
      <c r="J14" s="82" t="s">
        <v>237</v>
      </c>
      <c r="K14" s="52" t="s">
        <v>1134</v>
      </c>
      <c r="M14" s="83" t="s">
        <v>212</v>
      </c>
      <c r="N14" s="83"/>
      <c r="O14" s="83"/>
      <c r="P14" s="87"/>
      <c r="Q14" s="83"/>
    </row>
    <row r="15" spans="1:24" x14ac:dyDescent="0.2">
      <c r="B15" s="79" t="s">
        <v>259</v>
      </c>
      <c r="C15" s="46" t="s">
        <v>260</v>
      </c>
      <c r="D15" s="52" t="s">
        <v>1134</v>
      </c>
      <c r="F15" s="52" t="s">
        <v>261</v>
      </c>
      <c r="G15" s="46" t="s">
        <v>264</v>
      </c>
      <c r="H15" s="46" t="s">
        <v>264</v>
      </c>
      <c r="I15" s="79" t="s">
        <v>211</v>
      </c>
      <c r="J15" s="82" t="s">
        <v>237</v>
      </c>
      <c r="K15" s="52" t="s">
        <v>1134</v>
      </c>
      <c r="M15" s="83" t="s">
        <v>212</v>
      </c>
      <c r="N15" s="83"/>
      <c r="O15" s="83"/>
      <c r="P15" s="87"/>
      <c r="Q15" s="83"/>
    </row>
    <row r="16" spans="1:24" x14ac:dyDescent="0.2">
      <c r="B16" s="79" t="s">
        <v>265</v>
      </c>
      <c r="C16" s="46" t="s">
        <v>266</v>
      </c>
      <c r="D16" s="52" t="s">
        <v>1135</v>
      </c>
      <c r="F16" s="52" t="s">
        <v>267</v>
      </c>
      <c r="G16" s="46" t="s">
        <v>268</v>
      </c>
      <c r="H16" s="46" t="s">
        <v>268</v>
      </c>
      <c r="I16" s="79" t="s">
        <v>211</v>
      </c>
      <c r="J16" s="82" t="s">
        <v>237</v>
      </c>
      <c r="K16" s="52" t="s">
        <v>1135</v>
      </c>
      <c r="M16" s="83" t="s">
        <v>212</v>
      </c>
      <c r="N16" s="83"/>
      <c r="O16" s="83"/>
      <c r="P16" s="87"/>
      <c r="Q16" s="83"/>
    </row>
    <row r="17" spans="1:24" x14ac:dyDescent="0.2">
      <c r="B17" s="79" t="s">
        <v>269</v>
      </c>
      <c r="C17" s="46" t="s">
        <v>270</v>
      </c>
      <c r="D17" s="52" t="s">
        <v>1136</v>
      </c>
      <c r="F17" s="52" t="s">
        <v>271</v>
      </c>
      <c r="G17" s="46" t="s">
        <v>272</v>
      </c>
      <c r="H17" s="46" t="s">
        <v>272</v>
      </c>
      <c r="I17" s="79" t="s">
        <v>211</v>
      </c>
      <c r="J17" s="82" t="s">
        <v>237</v>
      </c>
      <c r="K17" s="52" t="s">
        <v>1136</v>
      </c>
      <c r="M17" s="83" t="s">
        <v>212</v>
      </c>
      <c r="N17" s="83"/>
      <c r="O17" s="83"/>
      <c r="P17" s="87"/>
      <c r="Q17" s="83"/>
    </row>
    <row r="18" spans="1:24" x14ac:dyDescent="0.2">
      <c r="A18" s="76" t="s">
        <v>215</v>
      </c>
      <c r="B18" s="84" t="s">
        <v>273</v>
      </c>
      <c r="C18" s="46" t="s">
        <v>274</v>
      </c>
      <c r="D18" s="51" t="s">
        <v>1020</v>
      </c>
      <c r="E18" s="51">
        <v>255</v>
      </c>
      <c r="F18" s="51" t="s">
        <v>275</v>
      </c>
      <c r="G18" s="51">
        <v>216197194</v>
      </c>
      <c r="H18" s="51">
        <v>216197194</v>
      </c>
      <c r="I18" s="79" t="s">
        <v>219</v>
      </c>
      <c r="J18" s="85" t="s">
        <v>1021</v>
      </c>
      <c r="K18" s="51" t="s">
        <v>1020</v>
      </c>
      <c r="L18" s="86"/>
      <c r="M18" s="83" t="s">
        <v>220</v>
      </c>
      <c r="N18" s="83"/>
      <c r="O18" s="83"/>
      <c r="P18" s="87"/>
      <c r="Q18" s="83"/>
      <c r="R18" s="79" t="s">
        <v>276</v>
      </c>
      <c r="S18" s="79" t="s">
        <v>277</v>
      </c>
      <c r="T18" s="79" t="s">
        <v>278</v>
      </c>
    </row>
    <row r="19" spans="1:24" x14ac:dyDescent="0.2">
      <c r="B19" s="84" t="s">
        <v>279</v>
      </c>
      <c r="C19" s="46" t="s">
        <v>280</v>
      </c>
      <c r="D19" s="51" t="s">
        <v>1022</v>
      </c>
      <c r="E19" s="51">
        <v>347</v>
      </c>
      <c r="F19" s="51" t="s">
        <v>281</v>
      </c>
      <c r="G19" s="51"/>
      <c r="H19" s="51"/>
      <c r="I19" s="79" t="s">
        <v>219</v>
      </c>
      <c r="J19" s="85" t="s">
        <v>1023</v>
      </c>
      <c r="K19" s="51" t="s">
        <v>1022</v>
      </c>
      <c r="L19" s="86"/>
      <c r="M19" s="83" t="s">
        <v>220</v>
      </c>
      <c r="N19" s="83"/>
      <c r="O19" s="83"/>
      <c r="P19" s="87"/>
      <c r="Q19" s="83"/>
      <c r="T19" s="79" t="s">
        <v>282</v>
      </c>
      <c r="U19" s="79" t="s">
        <v>283</v>
      </c>
    </row>
    <row r="20" spans="1:24" ht="16.350000000000001" customHeight="1" x14ac:dyDescent="0.2">
      <c r="A20" s="76" t="s">
        <v>215</v>
      </c>
      <c r="B20" s="84" t="s">
        <v>284</v>
      </c>
      <c r="C20" s="46" t="s">
        <v>285</v>
      </c>
      <c r="D20" s="51" t="s">
        <v>1024</v>
      </c>
      <c r="E20" s="51">
        <v>118</v>
      </c>
      <c r="F20" s="51" t="s">
        <v>275</v>
      </c>
      <c r="G20" s="51">
        <v>216197194</v>
      </c>
      <c r="H20" s="51">
        <v>216197194</v>
      </c>
      <c r="I20" s="79" t="s">
        <v>219</v>
      </c>
      <c r="J20" s="85" t="s">
        <v>1025</v>
      </c>
      <c r="K20" s="51" t="s">
        <v>1024</v>
      </c>
      <c r="L20" s="86"/>
      <c r="M20" s="83" t="s">
        <v>220</v>
      </c>
      <c r="N20" s="83"/>
      <c r="O20" s="83"/>
      <c r="P20" s="87"/>
      <c r="Q20" s="83"/>
      <c r="R20" s="79" t="s">
        <v>286</v>
      </c>
      <c r="S20" s="79" t="s">
        <v>287</v>
      </c>
      <c r="T20" s="79" t="s">
        <v>288</v>
      </c>
      <c r="U20" s="79" t="s">
        <v>289</v>
      </c>
      <c r="V20" s="79" t="s">
        <v>290</v>
      </c>
    </row>
    <row r="21" spans="1:24" x14ac:dyDescent="0.2">
      <c r="B21" s="84" t="s">
        <v>291</v>
      </c>
      <c r="C21" s="51">
        <v>2558</v>
      </c>
      <c r="D21" s="51" t="s">
        <v>1137</v>
      </c>
      <c r="E21" s="51"/>
      <c r="F21" s="51" t="s">
        <v>292</v>
      </c>
      <c r="G21" s="51">
        <v>964286533</v>
      </c>
      <c r="H21" s="51">
        <v>964286533</v>
      </c>
      <c r="I21" s="79" t="s">
        <v>211</v>
      </c>
      <c r="J21" s="87" t="s">
        <v>1138</v>
      </c>
      <c r="K21" s="51" t="s">
        <v>1137</v>
      </c>
      <c r="L21" s="88"/>
      <c r="M21" s="89" t="s">
        <v>212</v>
      </c>
      <c r="N21" s="83"/>
      <c r="O21" s="83"/>
      <c r="P21" s="87"/>
      <c r="Q21" s="83"/>
    </row>
    <row r="22" spans="1:24" x14ac:dyDescent="0.2">
      <c r="B22" s="90" t="s">
        <v>293</v>
      </c>
      <c r="C22" s="46" t="s">
        <v>294</v>
      </c>
      <c r="D22" s="52" t="s">
        <v>1139</v>
      </c>
      <c r="G22" s="46" t="s">
        <v>295</v>
      </c>
      <c r="H22" s="46" t="s">
        <v>295</v>
      </c>
      <c r="I22" s="79" t="s">
        <v>211</v>
      </c>
      <c r="J22" s="87" t="s">
        <v>1140</v>
      </c>
      <c r="K22" s="52" t="s">
        <v>1139</v>
      </c>
      <c r="L22" s="88"/>
      <c r="M22" s="89" t="s">
        <v>212</v>
      </c>
      <c r="N22" s="83"/>
      <c r="O22" s="83"/>
      <c r="P22" s="87"/>
      <c r="Q22" s="89"/>
    </row>
    <row r="23" spans="1:24" x14ac:dyDescent="0.2">
      <c r="B23" s="79" t="s">
        <v>296</v>
      </c>
      <c r="C23" s="46" t="s">
        <v>297</v>
      </c>
      <c r="D23" s="52" t="s">
        <v>1141</v>
      </c>
      <c r="F23" s="52" t="s">
        <v>298</v>
      </c>
      <c r="G23" s="46" t="s">
        <v>299</v>
      </c>
      <c r="H23" s="46" t="s">
        <v>299</v>
      </c>
      <c r="I23" s="79" t="s">
        <v>211</v>
      </c>
      <c r="K23" s="52" t="s">
        <v>1141</v>
      </c>
      <c r="M23" s="83" t="s">
        <v>212</v>
      </c>
      <c r="N23" s="83"/>
      <c r="O23" s="83"/>
      <c r="P23" s="87"/>
      <c r="Q23" s="83"/>
      <c r="R23" s="91" t="s">
        <v>300</v>
      </c>
      <c r="S23" s="91" t="s">
        <v>301</v>
      </c>
      <c r="X23" s="79" t="s">
        <v>302</v>
      </c>
    </row>
    <row r="24" spans="1:24" x14ac:dyDescent="0.2">
      <c r="B24" s="79" t="s">
        <v>303</v>
      </c>
      <c r="C24" s="46" t="s">
        <v>304</v>
      </c>
      <c r="D24" s="52" t="s">
        <v>1142</v>
      </c>
      <c r="F24" s="52" t="s">
        <v>305</v>
      </c>
      <c r="G24" s="46" t="s">
        <v>306</v>
      </c>
      <c r="H24" s="46" t="s">
        <v>306</v>
      </c>
      <c r="I24" s="79" t="s">
        <v>211</v>
      </c>
      <c r="J24" s="82" t="s">
        <v>237</v>
      </c>
      <c r="K24" s="52" t="s">
        <v>1142</v>
      </c>
      <c r="M24" s="83" t="s">
        <v>212</v>
      </c>
      <c r="N24" s="83"/>
      <c r="O24" s="83"/>
      <c r="P24" s="87"/>
      <c r="Q24" s="83"/>
    </row>
    <row r="25" spans="1:24" x14ac:dyDescent="0.2">
      <c r="B25" s="79" t="s">
        <v>303</v>
      </c>
      <c r="C25" s="46" t="s">
        <v>304</v>
      </c>
      <c r="D25" s="52" t="s">
        <v>1142</v>
      </c>
      <c r="F25" s="52" t="s">
        <v>305</v>
      </c>
      <c r="G25" s="46" t="s">
        <v>307</v>
      </c>
      <c r="H25" s="46" t="s">
        <v>307</v>
      </c>
      <c r="I25" s="79" t="s">
        <v>211</v>
      </c>
      <c r="J25" s="82" t="s">
        <v>237</v>
      </c>
      <c r="K25" s="52" t="s">
        <v>1142</v>
      </c>
      <c r="M25" s="83" t="s">
        <v>212</v>
      </c>
      <c r="N25" s="83"/>
      <c r="O25" s="83"/>
      <c r="P25" s="87"/>
      <c r="Q25" s="83"/>
    </row>
    <row r="26" spans="1:24" x14ac:dyDescent="0.2">
      <c r="B26" s="79" t="s">
        <v>308</v>
      </c>
      <c r="C26" s="46" t="s">
        <v>309</v>
      </c>
      <c r="D26" s="52" t="s">
        <v>1143</v>
      </c>
      <c r="F26" s="52" t="s">
        <v>310</v>
      </c>
      <c r="G26" s="46" t="s">
        <v>311</v>
      </c>
      <c r="H26" s="46" t="s">
        <v>311</v>
      </c>
      <c r="I26" s="79" t="s">
        <v>211</v>
      </c>
      <c r="J26" s="82" t="s">
        <v>237</v>
      </c>
      <c r="K26" s="52" t="s">
        <v>1143</v>
      </c>
      <c r="M26" s="83" t="s">
        <v>212</v>
      </c>
      <c r="N26" s="83"/>
      <c r="O26" s="83"/>
      <c r="P26" s="87"/>
      <c r="Q26" s="83"/>
    </row>
    <row r="27" spans="1:24" x14ac:dyDescent="0.2">
      <c r="A27" s="76" t="s">
        <v>215</v>
      </c>
      <c r="B27" s="84" t="s">
        <v>312</v>
      </c>
      <c r="C27" s="92" t="s">
        <v>313</v>
      </c>
      <c r="D27" s="51" t="s">
        <v>1026</v>
      </c>
      <c r="E27" s="92">
        <v>862</v>
      </c>
      <c r="F27" s="51" t="s">
        <v>314</v>
      </c>
      <c r="G27" s="51"/>
      <c r="H27" s="51"/>
      <c r="I27" s="79" t="s">
        <v>219</v>
      </c>
      <c r="J27" s="85" t="s">
        <v>1027</v>
      </c>
      <c r="K27" s="51" t="s">
        <v>1026</v>
      </c>
      <c r="L27" s="86"/>
      <c r="M27" s="83" t="s">
        <v>220</v>
      </c>
      <c r="N27" s="83"/>
      <c r="O27" s="83"/>
      <c r="P27" s="87"/>
      <c r="Q27" s="83"/>
      <c r="R27" s="79" t="s">
        <v>315</v>
      </c>
      <c r="S27" s="79" t="s">
        <v>316</v>
      </c>
      <c r="T27" s="79" t="s">
        <v>317</v>
      </c>
    </row>
    <row r="28" spans="1:24" x14ac:dyDescent="0.2">
      <c r="B28" s="79" t="s">
        <v>318</v>
      </c>
      <c r="C28" s="46" t="s">
        <v>319</v>
      </c>
      <c r="D28" s="46" t="s">
        <v>1144</v>
      </c>
      <c r="F28" s="46" t="s">
        <v>320</v>
      </c>
      <c r="G28" s="46"/>
      <c r="H28" s="46" t="s">
        <v>321</v>
      </c>
      <c r="I28" s="79" t="s">
        <v>322</v>
      </c>
      <c r="J28" s="82" t="s">
        <v>237</v>
      </c>
      <c r="K28" s="46" t="s">
        <v>1144</v>
      </c>
      <c r="M28" s="83" t="s">
        <v>323</v>
      </c>
      <c r="N28" s="83"/>
      <c r="O28" s="83"/>
      <c r="P28" s="87"/>
      <c r="Q28" s="83"/>
    </row>
    <row r="29" spans="1:24" x14ac:dyDescent="0.2">
      <c r="B29" s="79" t="s">
        <v>324</v>
      </c>
      <c r="C29" s="46" t="s">
        <v>325</v>
      </c>
      <c r="D29" s="46" t="s">
        <v>1145</v>
      </c>
      <c r="F29" s="46" t="s">
        <v>326</v>
      </c>
      <c r="G29" s="46"/>
      <c r="H29" s="46" t="s">
        <v>327</v>
      </c>
      <c r="I29" s="79" t="s">
        <v>322</v>
      </c>
      <c r="J29" s="82" t="s">
        <v>237</v>
      </c>
      <c r="K29" s="46" t="s">
        <v>1145</v>
      </c>
      <c r="M29" s="83" t="s">
        <v>323</v>
      </c>
      <c r="N29" s="83"/>
      <c r="O29" s="83"/>
      <c r="P29" s="87"/>
      <c r="Q29" s="83"/>
    </row>
    <row r="30" spans="1:24" x14ac:dyDescent="0.2">
      <c r="B30" s="79" t="s">
        <v>328</v>
      </c>
      <c r="C30" s="46" t="s">
        <v>329</v>
      </c>
      <c r="D30" s="52" t="s">
        <v>1146</v>
      </c>
      <c r="F30" s="52" t="s">
        <v>330</v>
      </c>
      <c r="G30" s="46" t="s">
        <v>331</v>
      </c>
      <c r="H30" s="46" t="s">
        <v>331</v>
      </c>
      <c r="I30" s="79" t="s">
        <v>211</v>
      </c>
      <c r="J30" s="82" t="s">
        <v>237</v>
      </c>
      <c r="K30" s="52" t="s">
        <v>1146</v>
      </c>
      <c r="M30" s="83" t="s">
        <v>212</v>
      </c>
      <c r="N30" s="83"/>
      <c r="O30" s="83"/>
      <c r="P30" s="87"/>
      <c r="Q30" s="83"/>
    </row>
    <row r="31" spans="1:24" x14ac:dyDescent="0.2">
      <c r="B31" s="79" t="s">
        <v>337</v>
      </c>
      <c r="C31" s="46" t="s">
        <v>338</v>
      </c>
      <c r="D31" s="52" t="s">
        <v>1147</v>
      </c>
      <c r="F31" s="52" t="s">
        <v>339</v>
      </c>
      <c r="G31" s="46" t="s">
        <v>340</v>
      </c>
      <c r="H31" s="46" t="s">
        <v>340</v>
      </c>
      <c r="I31" s="79" t="s">
        <v>211</v>
      </c>
      <c r="J31" s="82" t="s">
        <v>237</v>
      </c>
      <c r="K31" s="52" t="s">
        <v>1147</v>
      </c>
      <c r="M31" s="83" t="s">
        <v>212</v>
      </c>
      <c r="N31" s="83"/>
      <c r="O31" s="83"/>
      <c r="P31" s="87"/>
      <c r="Q31" s="83"/>
    </row>
    <row r="32" spans="1:24" x14ac:dyDescent="0.2">
      <c r="B32" s="79" t="s">
        <v>341</v>
      </c>
      <c r="C32" s="46" t="s">
        <v>342</v>
      </c>
      <c r="D32" s="52" t="s">
        <v>1148</v>
      </c>
      <c r="F32" s="52" t="s">
        <v>343</v>
      </c>
      <c r="G32" s="46" t="s">
        <v>344</v>
      </c>
      <c r="H32" s="46" t="s">
        <v>344</v>
      </c>
      <c r="I32" s="79" t="s">
        <v>211</v>
      </c>
      <c r="J32" s="82" t="s">
        <v>237</v>
      </c>
      <c r="K32" s="52" t="s">
        <v>1148</v>
      </c>
      <c r="M32" s="83" t="s">
        <v>212</v>
      </c>
      <c r="N32" s="83"/>
      <c r="O32" s="83"/>
      <c r="P32" s="87"/>
      <c r="Q32" s="83"/>
    </row>
    <row r="33" spans="1:21" x14ac:dyDescent="0.2">
      <c r="B33" s="79" t="s">
        <v>345</v>
      </c>
      <c r="C33" s="46" t="s">
        <v>346</v>
      </c>
      <c r="D33" s="52" t="s">
        <v>1149</v>
      </c>
      <c r="F33" s="52" t="s">
        <v>347</v>
      </c>
      <c r="G33" s="46" t="s">
        <v>348</v>
      </c>
      <c r="H33" s="46" t="s">
        <v>348</v>
      </c>
      <c r="I33" s="79" t="s">
        <v>211</v>
      </c>
      <c r="J33" s="82" t="s">
        <v>237</v>
      </c>
      <c r="K33" s="52" t="s">
        <v>1149</v>
      </c>
      <c r="M33" s="83" t="s">
        <v>212</v>
      </c>
      <c r="N33" s="83"/>
      <c r="O33" s="83"/>
      <c r="P33" s="87"/>
      <c r="Q33" s="83"/>
    </row>
    <row r="34" spans="1:21" x14ac:dyDescent="0.2">
      <c r="B34" s="79" t="s">
        <v>349</v>
      </c>
      <c r="C34" s="46" t="s">
        <v>350</v>
      </c>
      <c r="D34" s="52" t="s">
        <v>1150</v>
      </c>
      <c r="F34" s="52" t="s">
        <v>351</v>
      </c>
      <c r="G34" s="46" t="s">
        <v>352</v>
      </c>
      <c r="H34" s="46" t="s">
        <v>352</v>
      </c>
      <c r="I34" s="79" t="s">
        <v>211</v>
      </c>
      <c r="J34" s="82" t="s">
        <v>237</v>
      </c>
      <c r="K34" s="52" t="s">
        <v>1150</v>
      </c>
      <c r="M34" s="83" t="s">
        <v>212</v>
      </c>
      <c r="N34" s="83"/>
      <c r="O34" s="83"/>
      <c r="P34" s="87"/>
      <c r="Q34" s="83"/>
    </row>
    <row r="35" spans="1:21" x14ac:dyDescent="0.2">
      <c r="B35" s="91" t="s">
        <v>353</v>
      </c>
      <c r="C35" s="46" t="s">
        <v>354</v>
      </c>
      <c r="D35" s="52" t="s">
        <v>1151</v>
      </c>
      <c r="G35" s="46" t="s">
        <v>355</v>
      </c>
      <c r="H35" s="46" t="s">
        <v>355</v>
      </c>
      <c r="I35" s="79" t="s">
        <v>211</v>
      </c>
      <c r="J35" s="87" t="s">
        <v>1152</v>
      </c>
      <c r="K35" s="52" t="s">
        <v>1151</v>
      </c>
      <c r="L35" s="88"/>
      <c r="M35" s="83" t="s">
        <v>212</v>
      </c>
      <c r="N35" s="83"/>
      <c r="O35" s="83"/>
      <c r="P35" s="87"/>
      <c r="Q35" s="83"/>
    </row>
    <row r="36" spans="1:21" x14ac:dyDescent="0.2">
      <c r="A36" s="76" t="s">
        <v>215</v>
      </c>
      <c r="B36" s="84" t="s">
        <v>356</v>
      </c>
      <c r="C36" s="107">
        <v>2172</v>
      </c>
      <c r="D36" s="107" t="s">
        <v>1206</v>
      </c>
      <c r="E36" s="107">
        <v>103</v>
      </c>
      <c r="F36" s="107" t="s">
        <v>218</v>
      </c>
      <c r="G36" s="107"/>
      <c r="H36" s="107"/>
      <c r="I36" s="108" t="s">
        <v>219</v>
      </c>
      <c r="J36" s="109" t="s">
        <v>1028</v>
      </c>
      <c r="K36" s="107" t="s">
        <v>1206</v>
      </c>
      <c r="L36" s="86"/>
      <c r="M36" s="83" t="s">
        <v>220</v>
      </c>
      <c r="N36" s="83"/>
      <c r="O36" s="83"/>
      <c r="P36" s="87"/>
      <c r="Q36" s="83"/>
      <c r="R36" s="79" t="s">
        <v>357</v>
      </c>
      <c r="S36" s="79" t="s">
        <v>358</v>
      </c>
      <c r="T36" s="79" t="s">
        <v>359</v>
      </c>
    </row>
    <row r="37" spans="1:21" x14ac:dyDescent="0.2">
      <c r="B37" s="79" t="s">
        <v>360</v>
      </c>
      <c r="C37" s="46" t="s">
        <v>361</v>
      </c>
      <c r="D37" s="52" t="s">
        <v>1153</v>
      </c>
      <c r="F37" s="52" t="s">
        <v>362</v>
      </c>
      <c r="G37" s="46" t="s">
        <v>363</v>
      </c>
      <c r="H37" s="46" t="s">
        <v>363</v>
      </c>
      <c r="I37" s="79" t="s">
        <v>211</v>
      </c>
      <c r="J37" s="82" t="s">
        <v>237</v>
      </c>
      <c r="K37" s="52" t="s">
        <v>1153</v>
      </c>
      <c r="M37" s="83" t="s">
        <v>212</v>
      </c>
      <c r="N37" s="83"/>
      <c r="O37" s="83"/>
      <c r="P37" s="87"/>
      <c r="Q37" s="83"/>
    </row>
    <row r="38" spans="1:21" x14ac:dyDescent="0.2">
      <c r="B38" s="79" t="s">
        <v>364</v>
      </c>
      <c r="C38" s="46" t="s">
        <v>365</v>
      </c>
      <c r="D38" s="46" t="s">
        <v>1154</v>
      </c>
      <c r="F38" s="46" t="s">
        <v>366</v>
      </c>
      <c r="G38" s="46"/>
      <c r="H38" s="46" t="s">
        <v>367</v>
      </c>
      <c r="I38" s="79" t="s">
        <v>322</v>
      </c>
      <c r="J38" s="82" t="s">
        <v>237</v>
      </c>
      <c r="K38" s="46" t="s">
        <v>1154</v>
      </c>
      <c r="M38" s="83" t="s">
        <v>323</v>
      </c>
      <c r="N38" s="83"/>
      <c r="O38" s="83"/>
      <c r="P38" s="87"/>
      <c r="Q38" s="83"/>
    </row>
    <row r="39" spans="1:21" x14ac:dyDescent="0.2">
      <c r="B39" s="79" t="s">
        <v>368</v>
      </c>
      <c r="C39" s="46" t="s">
        <v>369</v>
      </c>
      <c r="D39" s="46" t="s">
        <v>1155</v>
      </c>
      <c r="F39" s="46" t="s">
        <v>370</v>
      </c>
      <c r="G39" s="46"/>
      <c r="H39" s="46" t="s">
        <v>371</v>
      </c>
      <c r="I39" s="79" t="s">
        <v>322</v>
      </c>
      <c r="J39" s="82" t="s">
        <v>237</v>
      </c>
      <c r="K39" s="46" t="s">
        <v>1155</v>
      </c>
      <c r="M39" s="83" t="s">
        <v>323</v>
      </c>
      <c r="N39" s="83"/>
      <c r="O39" s="83"/>
      <c r="P39" s="87"/>
      <c r="Q39" s="83"/>
    </row>
    <row r="40" spans="1:21" x14ac:dyDescent="0.2">
      <c r="B40" s="84" t="s">
        <v>372</v>
      </c>
      <c r="C40" s="46" t="s">
        <v>373</v>
      </c>
      <c r="D40" s="51" t="s">
        <v>1029</v>
      </c>
      <c r="E40" s="51">
        <v>728</v>
      </c>
      <c r="F40" s="51" t="s">
        <v>374</v>
      </c>
      <c r="G40" s="51"/>
      <c r="H40" s="51"/>
      <c r="I40" s="79" t="s">
        <v>219</v>
      </c>
      <c r="J40" s="85" t="s">
        <v>1030</v>
      </c>
      <c r="K40" s="51" t="s">
        <v>1029</v>
      </c>
      <c r="L40" s="86"/>
      <c r="M40" s="83" t="s">
        <v>220</v>
      </c>
      <c r="N40" s="83"/>
      <c r="O40" s="83"/>
      <c r="P40" s="87"/>
      <c r="Q40" s="83"/>
    </row>
    <row r="41" spans="1:21" x14ac:dyDescent="0.2">
      <c r="B41" s="79" t="s">
        <v>375</v>
      </c>
      <c r="C41" s="46" t="s">
        <v>376</v>
      </c>
      <c r="D41" s="52" t="s">
        <v>1156</v>
      </c>
      <c r="F41" s="52" t="s">
        <v>377</v>
      </c>
      <c r="G41" s="46" t="s">
        <v>378</v>
      </c>
      <c r="H41" s="46" t="s">
        <v>378</v>
      </c>
      <c r="I41" s="79" t="s">
        <v>211</v>
      </c>
      <c r="J41" s="82" t="s">
        <v>237</v>
      </c>
      <c r="K41" s="52" t="s">
        <v>1156</v>
      </c>
      <c r="M41" s="83" t="s">
        <v>212</v>
      </c>
      <c r="N41" s="83"/>
      <c r="O41" s="83"/>
      <c r="P41" s="87"/>
      <c r="Q41" s="83"/>
    </row>
    <row r="42" spans="1:21" x14ac:dyDescent="0.2">
      <c r="B42" s="79" t="s">
        <v>379</v>
      </c>
      <c r="C42" s="46" t="s">
        <v>380</v>
      </c>
      <c r="D42" s="52" t="s">
        <v>1157</v>
      </c>
      <c r="F42" s="52" t="s">
        <v>381</v>
      </c>
      <c r="G42" s="46" t="s">
        <v>382</v>
      </c>
      <c r="H42" s="46" t="s">
        <v>382</v>
      </c>
      <c r="I42" s="79" t="s">
        <v>211</v>
      </c>
      <c r="K42" s="52" t="s">
        <v>1157</v>
      </c>
      <c r="M42" s="83" t="s">
        <v>212</v>
      </c>
      <c r="N42" s="83"/>
      <c r="O42" s="83"/>
      <c r="P42" s="87"/>
      <c r="Q42" s="83"/>
    </row>
    <row r="43" spans="1:21" x14ac:dyDescent="0.2">
      <c r="B43" s="79" t="s">
        <v>383</v>
      </c>
      <c r="C43" s="46" t="s">
        <v>384</v>
      </c>
      <c r="D43" s="52" t="s">
        <v>1158</v>
      </c>
      <c r="F43" s="52" t="s">
        <v>385</v>
      </c>
      <c r="G43" s="46" t="s">
        <v>386</v>
      </c>
      <c r="H43" s="46" t="s">
        <v>386</v>
      </c>
      <c r="I43" s="79" t="s">
        <v>211</v>
      </c>
      <c r="K43" s="52" t="s">
        <v>1158</v>
      </c>
      <c r="M43" s="83" t="s">
        <v>212</v>
      </c>
      <c r="N43" s="83"/>
      <c r="O43" s="83"/>
      <c r="P43" s="87"/>
      <c r="Q43" s="83"/>
    </row>
    <row r="44" spans="1:21" x14ac:dyDescent="0.2">
      <c r="A44" s="76" t="s">
        <v>215</v>
      </c>
      <c r="B44" s="84" t="s">
        <v>388</v>
      </c>
      <c r="C44" s="107">
        <v>2152</v>
      </c>
      <c r="D44" s="107" t="s">
        <v>1208</v>
      </c>
      <c r="E44" s="111" t="s">
        <v>389</v>
      </c>
      <c r="F44" s="107" t="s">
        <v>387</v>
      </c>
      <c r="G44" s="107"/>
      <c r="H44" s="107"/>
      <c r="I44" s="108" t="s">
        <v>219</v>
      </c>
      <c r="J44" s="109" t="s">
        <v>1031</v>
      </c>
      <c r="K44" s="107" t="s">
        <v>1208</v>
      </c>
      <c r="L44" s="86"/>
      <c r="M44" s="83" t="s">
        <v>220</v>
      </c>
      <c r="N44" s="83"/>
      <c r="O44" s="83"/>
      <c r="P44" s="87"/>
      <c r="Q44" s="83"/>
      <c r="R44" s="79" t="s">
        <v>390</v>
      </c>
      <c r="S44" s="79" t="s">
        <v>391</v>
      </c>
    </row>
    <row r="45" spans="1:21" x14ac:dyDescent="0.2">
      <c r="A45" s="76" t="s">
        <v>215</v>
      </c>
      <c r="B45" s="90" t="s">
        <v>392</v>
      </c>
      <c r="C45" s="46" t="s">
        <v>393</v>
      </c>
      <c r="D45" s="52" t="s">
        <v>1032</v>
      </c>
      <c r="G45" s="46" t="s">
        <v>394</v>
      </c>
      <c r="H45" s="46" t="s">
        <v>394</v>
      </c>
      <c r="I45" s="79" t="s">
        <v>219</v>
      </c>
      <c r="J45" s="87" t="s">
        <v>1033</v>
      </c>
      <c r="K45" s="52" t="s">
        <v>1032</v>
      </c>
      <c r="L45" s="88"/>
      <c r="M45" s="89" t="s">
        <v>212</v>
      </c>
      <c r="N45" s="83" t="s">
        <v>395</v>
      </c>
      <c r="O45" s="11" t="s">
        <v>396</v>
      </c>
      <c r="P45" s="104" t="s">
        <v>397</v>
      </c>
      <c r="Q45" s="89"/>
    </row>
    <row r="46" spans="1:21" x14ac:dyDescent="0.2">
      <c r="B46" s="79" t="s">
        <v>398</v>
      </c>
      <c r="C46" s="46" t="s">
        <v>399</v>
      </c>
      <c r="D46" s="52" t="s">
        <v>1159</v>
      </c>
      <c r="F46" s="52" t="s">
        <v>400</v>
      </c>
      <c r="G46" s="46" t="s">
        <v>401</v>
      </c>
      <c r="H46" s="46" t="s">
        <v>401</v>
      </c>
      <c r="I46" s="79" t="s">
        <v>211</v>
      </c>
      <c r="J46" s="82" t="s">
        <v>237</v>
      </c>
      <c r="K46" s="52" t="s">
        <v>1159</v>
      </c>
      <c r="M46" s="83" t="s">
        <v>212</v>
      </c>
      <c r="N46" s="83"/>
      <c r="O46" s="83"/>
      <c r="P46" s="87"/>
      <c r="Q46" s="83"/>
    </row>
    <row r="47" spans="1:21" x14ac:dyDescent="0.2">
      <c r="A47" s="76" t="s">
        <v>215</v>
      </c>
      <c r="B47" s="84" t="s">
        <v>402</v>
      </c>
      <c r="C47" s="51" t="s">
        <v>403</v>
      </c>
      <c r="D47" s="51" t="s">
        <v>1034</v>
      </c>
      <c r="E47" s="51">
        <v>1198</v>
      </c>
      <c r="F47" s="51" t="s">
        <v>404</v>
      </c>
      <c r="G47" s="51"/>
      <c r="H47" s="51"/>
      <c r="I47" s="79" t="s">
        <v>219</v>
      </c>
      <c r="J47" s="85" t="s">
        <v>1035</v>
      </c>
      <c r="K47" s="51" t="s">
        <v>1034</v>
      </c>
      <c r="L47" s="86"/>
      <c r="M47" s="83" t="s">
        <v>220</v>
      </c>
      <c r="N47" s="83"/>
      <c r="O47" s="83"/>
      <c r="P47" s="87"/>
      <c r="Q47" s="83"/>
      <c r="R47" s="79" t="s">
        <v>405</v>
      </c>
      <c r="S47" s="79" t="s">
        <v>406</v>
      </c>
      <c r="T47" s="79" t="s">
        <v>407</v>
      </c>
      <c r="U47" s="79" t="s">
        <v>408</v>
      </c>
    </row>
    <row r="48" spans="1:21" x14ac:dyDescent="0.2">
      <c r="A48" s="76" t="s">
        <v>215</v>
      </c>
      <c r="B48" s="84" t="s">
        <v>409</v>
      </c>
      <c r="C48" s="46" t="s">
        <v>410</v>
      </c>
      <c r="D48" s="51" t="s">
        <v>1036</v>
      </c>
      <c r="E48" s="51" t="s">
        <v>411</v>
      </c>
      <c r="F48" s="51" t="s">
        <v>377</v>
      </c>
      <c r="G48" s="51"/>
      <c r="H48" s="51"/>
      <c r="I48" s="79" t="s">
        <v>219</v>
      </c>
      <c r="J48" s="85" t="s">
        <v>1037</v>
      </c>
      <c r="K48" s="51" t="s">
        <v>1036</v>
      </c>
      <c r="L48" s="86"/>
      <c r="M48" s="83" t="s">
        <v>220</v>
      </c>
      <c r="N48" s="83"/>
      <c r="O48" s="83"/>
      <c r="P48" s="87"/>
      <c r="Q48" s="83"/>
      <c r="R48" s="79" t="s">
        <v>412</v>
      </c>
      <c r="S48" s="79" t="s">
        <v>413</v>
      </c>
      <c r="T48" s="79" t="s">
        <v>414</v>
      </c>
    </row>
    <row r="49" spans="1:24" ht="15" x14ac:dyDescent="0.25">
      <c r="A49" s="76" t="s">
        <v>215</v>
      </c>
      <c r="B49" t="s">
        <v>415</v>
      </c>
      <c r="C49" s="93">
        <v>2710</v>
      </c>
      <c r="D49" s="51" t="s">
        <v>1038</v>
      </c>
      <c r="E49" s="93">
        <v>2842</v>
      </c>
      <c r="F49" s="51" t="s">
        <v>377</v>
      </c>
      <c r="G49" s="51"/>
      <c r="H49" s="51"/>
      <c r="I49" s="79" t="s">
        <v>219</v>
      </c>
      <c r="J49" s="95" t="s">
        <v>1039</v>
      </c>
      <c r="K49" s="51" t="s">
        <v>1038</v>
      </c>
      <c r="L49" s="96"/>
      <c r="M49" s="83" t="s">
        <v>220</v>
      </c>
      <c r="N49" s="83"/>
      <c r="O49" s="83"/>
      <c r="P49" s="87"/>
      <c r="Q49" s="83"/>
      <c r="R49" t="s">
        <v>416</v>
      </c>
      <c r="S49" t="s">
        <v>417</v>
      </c>
      <c r="T49" t="s">
        <v>418</v>
      </c>
      <c r="X49" s="79" t="s">
        <v>419</v>
      </c>
    </row>
    <row r="50" spans="1:24" x14ac:dyDescent="0.2">
      <c r="A50" s="76" t="s">
        <v>215</v>
      </c>
      <c r="B50" s="84" t="s">
        <v>420</v>
      </c>
      <c r="C50" s="51" t="s">
        <v>421</v>
      </c>
      <c r="D50" s="51" t="s">
        <v>1040</v>
      </c>
      <c r="E50" s="51">
        <v>1421</v>
      </c>
      <c r="F50" s="51" t="s">
        <v>422</v>
      </c>
      <c r="G50" s="51"/>
      <c r="H50" s="51"/>
      <c r="I50" s="79" t="s">
        <v>219</v>
      </c>
      <c r="J50" s="85" t="s">
        <v>1041</v>
      </c>
      <c r="K50" s="51" t="s">
        <v>1040</v>
      </c>
      <c r="L50" s="86"/>
      <c r="M50" s="83" t="s">
        <v>220</v>
      </c>
      <c r="N50" s="83"/>
      <c r="O50" s="83"/>
      <c r="P50" s="87"/>
      <c r="Q50" s="83"/>
      <c r="R50" s="79" t="s">
        <v>423</v>
      </c>
      <c r="S50" s="79" t="s">
        <v>424</v>
      </c>
      <c r="T50" s="79" t="s">
        <v>425</v>
      </c>
    </row>
    <row r="51" spans="1:24" x14ac:dyDescent="0.2">
      <c r="A51" s="76" t="s">
        <v>215</v>
      </c>
      <c r="B51" s="84" t="s">
        <v>426</v>
      </c>
      <c r="C51" s="51" t="s">
        <v>427</v>
      </c>
      <c r="D51" s="51" t="s">
        <v>1042</v>
      </c>
      <c r="E51" s="51">
        <v>1420</v>
      </c>
      <c r="F51" s="51" t="s">
        <v>422</v>
      </c>
      <c r="G51" s="51"/>
      <c r="H51" s="51"/>
      <c r="I51" s="79" t="s">
        <v>219</v>
      </c>
      <c r="J51" s="85" t="s">
        <v>1043</v>
      </c>
      <c r="K51" s="51" t="s">
        <v>1042</v>
      </c>
      <c r="L51" s="86"/>
      <c r="M51" s="83" t="s">
        <v>220</v>
      </c>
      <c r="N51" s="83"/>
      <c r="O51" s="83"/>
      <c r="P51" s="87"/>
      <c r="Q51" s="83"/>
      <c r="R51" s="79" t="s">
        <v>428</v>
      </c>
      <c r="S51" s="79" t="s">
        <v>429</v>
      </c>
      <c r="T51" s="79" t="s">
        <v>430</v>
      </c>
    </row>
    <row r="52" spans="1:24" x14ac:dyDescent="0.2">
      <c r="A52" s="76" t="s">
        <v>215</v>
      </c>
      <c r="B52" s="84" t="s">
        <v>431</v>
      </c>
      <c r="C52" s="51" t="s">
        <v>432</v>
      </c>
      <c r="D52" s="51" t="s">
        <v>1044</v>
      </c>
      <c r="E52" s="51">
        <v>2100</v>
      </c>
      <c r="F52" s="51" t="s">
        <v>254</v>
      </c>
      <c r="G52" s="51"/>
      <c r="H52" s="51"/>
      <c r="I52" s="79" t="s">
        <v>219</v>
      </c>
      <c r="J52" s="85" t="s">
        <v>1045</v>
      </c>
      <c r="K52" s="51" t="s">
        <v>1044</v>
      </c>
      <c r="L52" s="86"/>
      <c r="M52" s="83" t="s">
        <v>220</v>
      </c>
      <c r="N52" s="83"/>
      <c r="O52" s="83"/>
      <c r="P52" s="87"/>
      <c r="Q52" s="83"/>
      <c r="R52" s="79" t="s">
        <v>433</v>
      </c>
      <c r="S52" s="79" t="s">
        <v>434</v>
      </c>
    </row>
    <row r="53" spans="1:24" x14ac:dyDescent="0.2">
      <c r="B53" s="79" t="s">
        <v>435</v>
      </c>
      <c r="C53" s="46" t="s">
        <v>436</v>
      </c>
      <c r="D53" s="52" t="s">
        <v>1160</v>
      </c>
      <c r="F53" s="52" t="s">
        <v>437</v>
      </c>
      <c r="G53" s="46" t="s">
        <v>438</v>
      </c>
      <c r="H53" s="46" t="s">
        <v>438</v>
      </c>
      <c r="I53" s="79" t="s">
        <v>211</v>
      </c>
      <c r="J53" s="82" t="s">
        <v>237</v>
      </c>
      <c r="K53" s="52" t="s">
        <v>1160</v>
      </c>
      <c r="M53" s="83" t="s">
        <v>212</v>
      </c>
      <c r="N53" s="83"/>
      <c r="O53" s="83"/>
      <c r="P53" s="87"/>
      <c r="Q53" s="83"/>
    </row>
    <row r="54" spans="1:24" x14ac:dyDescent="0.2">
      <c r="B54" s="84" t="s">
        <v>439</v>
      </c>
      <c r="C54" s="46" t="s">
        <v>440</v>
      </c>
      <c r="D54" s="51" t="s">
        <v>1161</v>
      </c>
      <c r="E54" s="51"/>
      <c r="F54" s="51"/>
      <c r="G54" s="93" t="s">
        <v>441</v>
      </c>
      <c r="H54" s="93" t="s">
        <v>441</v>
      </c>
      <c r="I54" s="79" t="s">
        <v>211</v>
      </c>
      <c r="J54" s="82" t="s">
        <v>237</v>
      </c>
      <c r="K54" s="51" t="s">
        <v>1161</v>
      </c>
      <c r="L54" s="86"/>
      <c r="M54" s="83" t="s">
        <v>212</v>
      </c>
      <c r="N54" s="83"/>
      <c r="O54" s="83"/>
      <c r="P54" s="87"/>
      <c r="Q54" s="83"/>
    </row>
    <row r="55" spans="1:24" x14ac:dyDescent="0.2">
      <c r="A55" s="76" t="s">
        <v>215</v>
      </c>
      <c r="B55" s="84" t="s">
        <v>442</v>
      </c>
      <c r="C55" s="46" t="s">
        <v>443</v>
      </c>
      <c r="D55" s="51" t="s">
        <v>1046</v>
      </c>
      <c r="E55" s="51">
        <v>583</v>
      </c>
      <c r="F55" s="51" t="s">
        <v>275</v>
      </c>
      <c r="G55" s="51"/>
      <c r="H55" s="51"/>
      <c r="I55" s="79" t="s">
        <v>219</v>
      </c>
      <c r="J55" s="85" t="s">
        <v>1047</v>
      </c>
      <c r="K55" s="51" t="s">
        <v>1046</v>
      </c>
      <c r="L55" s="86"/>
      <c r="M55" s="83" t="s">
        <v>220</v>
      </c>
      <c r="N55" s="83"/>
      <c r="O55" s="83"/>
      <c r="P55" s="87"/>
      <c r="Q55" s="83"/>
      <c r="R55" s="79" t="s">
        <v>444</v>
      </c>
      <c r="S55" s="79" t="s">
        <v>445</v>
      </c>
      <c r="U55" s="79" t="s">
        <v>446</v>
      </c>
      <c r="W55" s="79" t="s">
        <v>447</v>
      </c>
    </row>
    <row r="56" spans="1:24" x14ac:dyDescent="0.2">
      <c r="A56" s="76" t="s">
        <v>215</v>
      </c>
      <c r="B56" s="97" t="s">
        <v>448</v>
      </c>
      <c r="C56" s="51">
        <v>2674</v>
      </c>
      <c r="D56" s="51" t="s">
        <v>1048</v>
      </c>
      <c r="E56" s="51"/>
      <c r="F56" s="51" t="s">
        <v>449</v>
      </c>
      <c r="G56" s="51"/>
      <c r="H56" s="51"/>
      <c r="I56" s="79" t="s">
        <v>219</v>
      </c>
      <c r="J56" s="95" t="s">
        <v>1049</v>
      </c>
      <c r="K56" s="51" t="s">
        <v>1048</v>
      </c>
      <c r="L56" s="84"/>
      <c r="M56" s="83" t="s">
        <v>220</v>
      </c>
      <c r="N56" s="83"/>
      <c r="O56" s="83"/>
      <c r="P56" s="87"/>
      <c r="Q56" s="83"/>
      <c r="R56" s="79" t="s">
        <v>450</v>
      </c>
      <c r="S56" s="79" t="s">
        <v>451</v>
      </c>
      <c r="T56" s="79" t="s">
        <v>452</v>
      </c>
      <c r="X56" s="79" t="s">
        <v>419</v>
      </c>
    </row>
    <row r="57" spans="1:24" x14ac:dyDescent="0.2">
      <c r="A57" s="76" t="s">
        <v>215</v>
      </c>
      <c r="B57" s="97" t="s">
        <v>453</v>
      </c>
      <c r="C57" s="51">
        <v>2798</v>
      </c>
      <c r="D57" s="51" t="s">
        <v>1050</v>
      </c>
      <c r="E57" s="51"/>
      <c r="F57" s="51" t="s">
        <v>449</v>
      </c>
      <c r="G57" s="51"/>
      <c r="H57" s="51"/>
      <c r="I57" s="79" t="s">
        <v>219</v>
      </c>
      <c r="J57" s="95" t="s">
        <v>1051</v>
      </c>
      <c r="K57" s="51" t="s">
        <v>1050</v>
      </c>
      <c r="L57" s="84"/>
      <c r="M57" s="83" t="s">
        <v>220</v>
      </c>
      <c r="N57" s="83"/>
      <c r="O57" s="83"/>
      <c r="P57" s="87"/>
      <c r="Q57" s="83"/>
      <c r="R57" s="79" t="s">
        <v>454</v>
      </c>
      <c r="S57" s="79" t="s">
        <v>455</v>
      </c>
      <c r="T57" s="79" t="s">
        <v>456</v>
      </c>
      <c r="X57" s="79" t="s">
        <v>419</v>
      </c>
    </row>
    <row r="58" spans="1:24" x14ac:dyDescent="0.2">
      <c r="A58" s="76" t="s">
        <v>215</v>
      </c>
      <c r="B58" s="84" t="s">
        <v>457</v>
      </c>
      <c r="C58" s="107" t="s">
        <v>458</v>
      </c>
      <c r="D58" s="107" t="s">
        <v>1209</v>
      </c>
      <c r="E58" s="107">
        <v>891</v>
      </c>
      <c r="F58" s="107" t="s">
        <v>459</v>
      </c>
      <c r="G58" s="107"/>
      <c r="H58" s="107"/>
      <c r="I58" s="108" t="s">
        <v>219</v>
      </c>
      <c r="J58" s="109" t="s">
        <v>1052</v>
      </c>
      <c r="K58" s="107" t="s">
        <v>1209</v>
      </c>
      <c r="L58" s="86"/>
      <c r="M58" s="83" t="s">
        <v>220</v>
      </c>
      <c r="N58" s="83"/>
      <c r="O58" s="83"/>
      <c r="P58" s="87"/>
      <c r="Q58" s="83"/>
      <c r="R58" s="79" t="s">
        <v>460</v>
      </c>
      <c r="S58" s="79" t="s">
        <v>461</v>
      </c>
      <c r="T58" s="79" t="s">
        <v>462</v>
      </c>
    </row>
    <row r="59" spans="1:24" ht="15" x14ac:dyDescent="0.25">
      <c r="A59" s="76" t="s">
        <v>215</v>
      </c>
      <c r="B59" s="84" t="s">
        <v>463</v>
      </c>
      <c r="C59" s="51">
        <v>1525</v>
      </c>
      <c r="D59" s="51" t="s">
        <v>1053</v>
      </c>
      <c r="E59" s="51" t="s">
        <v>15</v>
      </c>
      <c r="F59" s="51" t="s">
        <v>459</v>
      </c>
      <c r="G59" s="51"/>
      <c r="H59" s="51"/>
      <c r="I59" s="79" t="s">
        <v>219</v>
      </c>
      <c r="J59" s="85" t="s">
        <v>1054</v>
      </c>
      <c r="K59" s="51" t="s">
        <v>1053</v>
      </c>
      <c r="L59" s="86"/>
      <c r="M59" s="83" t="s">
        <v>220</v>
      </c>
      <c r="N59" s="83"/>
      <c r="O59" s="83"/>
      <c r="P59" s="87"/>
      <c r="Q59" s="83"/>
      <c r="R59" t="s">
        <v>464</v>
      </c>
      <c r="S59" t="s">
        <v>465</v>
      </c>
      <c r="T59" t="s">
        <v>465</v>
      </c>
    </row>
    <row r="60" spans="1:24" x14ac:dyDescent="0.2">
      <c r="B60" s="84" t="s">
        <v>466</v>
      </c>
      <c r="C60" s="51">
        <v>2655</v>
      </c>
      <c r="D60" s="51" t="s">
        <v>1162</v>
      </c>
      <c r="E60" s="51"/>
      <c r="F60" s="51" t="s">
        <v>467</v>
      </c>
      <c r="G60" s="51">
        <v>361542058</v>
      </c>
      <c r="H60" s="51">
        <v>361542058</v>
      </c>
      <c r="I60" s="79" t="s">
        <v>211</v>
      </c>
      <c r="J60" s="85"/>
      <c r="K60" s="51" t="s">
        <v>1162</v>
      </c>
      <c r="L60" s="86"/>
      <c r="M60" s="89" t="s">
        <v>212</v>
      </c>
      <c r="N60" s="83"/>
      <c r="O60" s="83"/>
      <c r="P60" s="87"/>
      <c r="Q60" s="83"/>
    </row>
    <row r="61" spans="1:24" x14ac:dyDescent="0.2">
      <c r="A61" s="76" t="s">
        <v>215</v>
      </c>
      <c r="B61" s="84" t="s">
        <v>468</v>
      </c>
      <c r="C61" s="107" t="s">
        <v>469</v>
      </c>
      <c r="D61" s="107" t="s">
        <v>1210</v>
      </c>
      <c r="E61" s="107">
        <v>144</v>
      </c>
      <c r="F61" s="107" t="s">
        <v>470</v>
      </c>
      <c r="G61" s="107">
        <v>300278322</v>
      </c>
      <c r="H61" s="107">
        <v>300278322</v>
      </c>
      <c r="I61" s="108" t="s">
        <v>219</v>
      </c>
      <c r="J61" s="109" t="s">
        <v>1055</v>
      </c>
      <c r="K61" s="107" t="s">
        <v>1210</v>
      </c>
      <c r="L61" s="86"/>
      <c r="M61" s="83" t="s">
        <v>220</v>
      </c>
      <c r="N61" s="83"/>
      <c r="O61" s="83"/>
      <c r="P61" s="87"/>
      <c r="Q61" s="83"/>
      <c r="R61" s="79" t="s">
        <v>471</v>
      </c>
      <c r="S61" s="79" t="s">
        <v>472</v>
      </c>
      <c r="T61" s="79" t="s">
        <v>473</v>
      </c>
    </row>
    <row r="62" spans="1:24" x14ac:dyDescent="0.2">
      <c r="B62" s="90" t="s">
        <v>474</v>
      </c>
      <c r="C62" s="46" t="s">
        <v>475</v>
      </c>
      <c r="D62" s="52" t="s">
        <v>1163</v>
      </c>
      <c r="G62" s="46" t="s">
        <v>476</v>
      </c>
      <c r="H62" s="46" t="s">
        <v>476</v>
      </c>
      <c r="I62" s="79" t="s">
        <v>211</v>
      </c>
      <c r="J62" s="87" t="s">
        <v>1164</v>
      </c>
      <c r="K62" s="52" t="s">
        <v>1163</v>
      </c>
      <c r="L62" s="88"/>
      <c r="M62" s="89" t="s">
        <v>212</v>
      </c>
      <c r="N62" s="83"/>
      <c r="O62" s="83"/>
      <c r="P62" s="87"/>
      <c r="Q62" s="89"/>
    </row>
    <row r="63" spans="1:24" x14ac:dyDescent="0.2">
      <c r="A63" s="76" t="s">
        <v>215</v>
      </c>
      <c r="B63" s="84" t="s">
        <v>477</v>
      </c>
      <c r="C63" s="107" t="s">
        <v>478</v>
      </c>
      <c r="D63" s="107" t="s">
        <v>1211</v>
      </c>
      <c r="E63" s="107">
        <v>113</v>
      </c>
      <c r="F63" s="107" t="s">
        <v>387</v>
      </c>
      <c r="G63" s="107">
        <v>330019902</v>
      </c>
      <c r="H63" s="107">
        <v>330019902</v>
      </c>
      <c r="I63" s="108" t="s">
        <v>219</v>
      </c>
      <c r="J63" s="109" t="s">
        <v>1056</v>
      </c>
      <c r="K63" s="107" t="s">
        <v>1211</v>
      </c>
      <c r="L63" s="86"/>
      <c r="M63" s="83" t="s">
        <v>220</v>
      </c>
      <c r="N63" s="83"/>
      <c r="O63" s="83"/>
      <c r="P63" s="87"/>
      <c r="Q63" s="83"/>
      <c r="R63" s="79" t="s">
        <v>479</v>
      </c>
      <c r="S63" s="79" t="s">
        <v>480</v>
      </c>
      <c r="T63" s="79" t="s">
        <v>481</v>
      </c>
      <c r="W63" s="79" t="s">
        <v>482</v>
      </c>
    </row>
    <row r="64" spans="1:24" x14ac:dyDescent="0.2">
      <c r="A64" s="76" t="s">
        <v>215</v>
      </c>
      <c r="B64" s="84" t="s">
        <v>483</v>
      </c>
      <c r="C64" s="51" t="s">
        <v>484</v>
      </c>
      <c r="D64" s="51" t="s">
        <v>1057</v>
      </c>
      <c r="E64" s="51">
        <v>1050</v>
      </c>
      <c r="F64" s="51" t="s">
        <v>404</v>
      </c>
      <c r="G64" s="51"/>
      <c r="H64" s="51"/>
      <c r="I64" s="79" t="s">
        <v>219</v>
      </c>
      <c r="J64" s="85" t="s">
        <v>1058</v>
      </c>
      <c r="K64" s="51" t="s">
        <v>1057</v>
      </c>
      <c r="L64" s="86"/>
      <c r="M64" s="83" t="s">
        <v>220</v>
      </c>
      <c r="N64" s="83"/>
      <c r="O64" s="83"/>
      <c r="P64" s="87"/>
      <c r="Q64" s="83"/>
      <c r="R64" s="79" t="s">
        <v>485</v>
      </c>
      <c r="S64" s="79" t="s">
        <v>486</v>
      </c>
      <c r="T64" s="79" t="s">
        <v>487</v>
      </c>
    </row>
    <row r="65" spans="1:24" x14ac:dyDescent="0.2">
      <c r="B65" s="79" t="s">
        <v>488</v>
      </c>
      <c r="C65" s="46" t="s">
        <v>489</v>
      </c>
      <c r="D65" s="52" t="s">
        <v>1165</v>
      </c>
      <c r="F65" s="52" t="s">
        <v>490</v>
      </c>
      <c r="G65" s="46" t="s">
        <v>491</v>
      </c>
      <c r="H65" s="46" t="s">
        <v>491</v>
      </c>
      <c r="I65" s="79" t="s">
        <v>211</v>
      </c>
      <c r="J65" s="82" t="s">
        <v>237</v>
      </c>
      <c r="K65" s="52" t="s">
        <v>1165</v>
      </c>
      <c r="M65" s="83" t="s">
        <v>212</v>
      </c>
      <c r="N65" s="83"/>
      <c r="O65" s="83"/>
      <c r="P65" s="87"/>
      <c r="Q65" s="83"/>
    </row>
    <row r="66" spans="1:24" x14ac:dyDescent="0.2">
      <c r="A66" s="76" t="s">
        <v>215</v>
      </c>
      <c r="B66" s="84" t="s">
        <v>492</v>
      </c>
      <c r="C66" s="46" t="s">
        <v>493</v>
      </c>
      <c r="D66" s="51" t="s">
        <v>1059</v>
      </c>
      <c r="E66" s="51">
        <v>275</v>
      </c>
      <c r="F66" s="51" t="s">
        <v>254</v>
      </c>
      <c r="G66" s="51">
        <v>495002339</v>
      </c>
      <c r="H66" s="51">
        <v>495002339</v>
      </c>
      <c r="I66" s="79" t="s">
        <v>219</v>
      </c>
      <c r="J66" s="85" t="s">
        <v>1060</v>
      </c>
      <c r="K66" s="51" t="s">
        <v>1059</v>
      </c>
      <c r="L66" s="86"/>
      <c r="M66" s="83" t="s">
        <v>220</v>
      </c>
      <c r="N66" s="83"/>
      <c r="O66" s="83"/>
      <c r="P66" s="87"/>
      <c r="Q66" s="83"/>
      <c r="R66" s="79" t="s">
        <v>494</v>
      </c>
      <c r="S66" s="79" t="s">
        <v>495</v>
      </c>
      <c r="U66" s="79" t="s">
        <v>496</v>
      </c>
      <c r="W66" s="79" t="s">
        <v>497</v>
      </c>
    </row>
    <row r="67" spans="1:24" x14ac:dyDescent="0.2">
      <c r="B67" s="79" t="s">
        <v>498</v>
      </c>
      <c r="C67" s="46" t="s">
        <v>499</v>
      </c>
      <c r="D67" s="52" t="s">
        <v>1166</v>
      </c>
      <c r="F67" s="52" t="s">
        <v>500</v>
      </c>
      <c r="G67" s="46" t="s">
        <v>501</v>
      </c>
      <c r="H67" s="46" t="s">
        <v>501</v>
      </c>
      <c r="I67" s="79" t="s">
        <v>211</v>
      </c>
      <c r="J67" s="82" t="s">
        <v>237</v>
      </c>
      <c r="K67" s="52" t="s">
        <v>1166</v>
      </c>
      <c r="M67" s="83" t="s">
        <v>212</v>
      </c>
      <c r="N67" s="83"/>
      <c r="O67" s="83"/>
      <c r="P67" s="87"/>
      <c r="Q67" s="83"/>
    </row>
    <row r="68" spans="1:24" x14ac:dyDescent="0.2">
      <c r="A68" s="76" t="s">
        <v>215</v>
      </c>
      <c r="B68" s="90" t="s">
        <v>1013</v>
      </c>
      <c r="C68" s="46" t="s">
        <v>502</v>
      </c>
      <c r="D68" s="52" t="s">
        <v>1061</v>
      </c>
      <c r="F68" s="52" t="s">
        <v>404</v>
      </c>
      <c r="G68" s="46" t="s">
        <v>503</v>
      </c>
      <c r="H68" s="46" t="s">
        <v>503</v>
      </c>
      <c r="I68" s="79" t="s">
        <v>219</v>
      </c>
      <c r="J68" s="87" t="s">
        <v>1062</v>
      </c>
      <c r="K68" s="52" t="s">
        <v>1061</v>
      </c>
      <c r="L68" s="88"/>
      <c r="M68" s="89" t="s">
        <v>212</v>
      </c>
      <c r="N68" s="83" t="s">
        <v>504</v>
      </c>
      <c r="O68" s="94" t="s">
        <v>505</v>
      </c>
      <c r="P68" s="104"/>
      <c r="Q68" s="89"/>
    </row>
    <row r="69" spans="1:24" x14ac:dyDescent="0.2">
      <c r="A69" s="76" t="s">
        <v>215</v>
      </c>
      <c r="B69" s="90" t="s">
        <v>1012</v>
      </c>
      <c r="C69" s="46" t="s">
        <v>1011</v>
      </c>
      <c r="D69" s="52" t="s">
        <v>1063</v>
      </c>
      <c r="F69" s="52" t="s">
        <v>404</v>
      </c>
      <c r="G69" s="46">
        <v>401665318</v>
      </c>
      <c r="H69" s="46">
        <v>401665318</v>
      </c>
      <c r="I69" s="79" t="s">
        <v>219</v>
      </c>
      <c r="J69" s="87" t="s">
        <v>1064</v>
      </c>
      <c r="K69" s="52" t="s">
        <v>1063</v>
      </c>
      <c r="L69" s="88"/>
      <c r="M69" s="89" t="s">
        <v>212</v>
      </c>
      <c r="N69" s="83" t="s">
        <v>504</v>
      </c>
      <c r="O69" s="94" t="s">
        <v>505</v>
      </c>
      <c r="P69" s="104"/>
      <c r="Q69" s="89"/>
    </row>
    <row r="70" spans="1:24" x14ac:dyDescent="0.2">
      <c r="B70" s="79" t="s">
        <v>506</v>
      </c>
      <c r="C70" s="46" t="s">
        <v>507</v>
      </c>
      <c r="D70" s="52" t="s">
        <v>1167</v>
      </c>
      <c r="F70" s="52" t="s">
        <v>508</v>
      </c>
      <c r="G70" s="46" t="s">
        <v>509</v>
      </c>
      <c r="H70" s="46" t="s">
        <v>509</v>
      </c>
      <c r="I70" s="79" t="s">
        <v>211</v>
      </c>
      <c r="J70" s="82" t="s">
        <v>237</v>
      </c>
      <c r="K70" s="52" t="s">
        <v>1167</v>
      </c>
      <c r="M70" s="83" t="s">
        <v>212</v>
      </c>
      <c r="N70" s="83"/>
      <c r="O70" s="83"/>
      <c r="P70" s="87"/>
      <c r="Q70" s="83"/>
    </row>
    <row r="71" spans="1:24" x14ac:dyDescent="0.2">
      <c r="B71" s="79" t="s">
        <v>510</v>
      </c>
      <c r="C71" s="46" t="s">
        <v>511</v>
      </c>
      <c r="D71" s="52" t="s">
        <v>1065</v>
      </c>
      <c r="G71" s="46" t="s">
        <v>512</v>
      </c>
      <c r="H71" s="46" t="s">
        <v>512</v>
      </c>
      <c r="I71" s="79" t="s">
        <v>211</v>
      </c>
      <c r="K71" s="52" t="s">
        <v>1065</v>
      </c>
      <c r="M71" s="83" t="s">
        <v>212</v>
      </c>
      <c r="N71" s="83"/>
      <c r="O71" s="83"/>
      <c r="P71" s="87"/>
      <c r="Q71" s="83"/>
    </row>
    <row r="72" spans="1:24" x14ac:dyDescent="0.2">
      <c r="B72" s="79" t="s">
        <v>513</v>
      </c>
      <c r="C72" s="46" t="s">
        <v>514</v>
      </c>
      <c r="D72" s="52" t="s">
        <v>1168</v>
      </c>
      <c r="F72" s="52" t="s">
        <v>515</v>
      </c>
      <c r="G72" s="46" t="s">
        <v>516</v>
      </c>
      <c r="H72" s="46" t="s">
        <v>516</v>
      </c>
      <c r="I72" s="79" t="s">
        <v>211</v>
      </c>
      <c r="J72" s="82" t="s">
        <v>237</v>
      </c>
      <c r="K72" s="52" t="s">
        <v>1168</v>
      </c>
      <c r="M72" s="83" t="s">
        <v>212</v>
      </c>
      <c r="N72" s="83"/>
      <c r="O72" s="83"/>
      <c r="P72" s="87"/>
      <c r="Q72" s="83"/>
    </row>
    <row r="73" spans="1:24" x14ac:dyDescent="0.2">
      <c r="A73" s="76" t="s">
        <v>215</v>
      </c>
      <c r="B73" s="84" t="s">
        <v>517</v>
      </c>
      <c r="C73" s="46" t="s">
        <v>518</v>
      </c>
      <c r="D73" s="51" t="s">
        <v>1066</v>
      </c>
      <c r="E73" s="51">
        <v>338</v>
      </c>
      <c r="F73" s="51" t="s">
        <v>519</v>
      </c>
      <c r="G73" s="51"/>
      <c r="H73" s="51"/>
      <c r="I73" s="79" t="s">
        <v>219</v>
      </c>
      <c r="J73" s="85" t="s">
        <v>1067</v>
      </c>
      <c r="K73" s="51" t="s">
        <v>1066</v>
      </c>
      <c r="L73" s="86"/>
      <c r="M73" s="83" t="s">
        <v>220</v>
      </c>
      <c r="N73" s="83"/>
      <c r="O73" s="83"/>
      <c r="P73" s="87"/>
      <c r="Q73" s="83"/>
      <c r="R73" s="79" t="s">
        <v>520</v>
      </c>
      <c r="S73" s="79" t="s">
        <v>521</v>
      </c>
      <c r="T73" s="79" t="s">
        <v>522</v>
      </c>
    </row>
    <row r="74" spans="1:24" ht="15" x14ac:dyDescent="0.25">
      <c r="A74" s="76" t="s">
        <v>215</v>
      </c>
      <c r="B74" s="84" t="s">
        <v>523</v>
      </c>
      <c r="C74" s="51">
        <v>2184</v>
      </c>
      <c r="D74" s="51" t="s">
        <v>1068</v>
      </c>
      <c r="E74" s="93"/>
      <c r="F74" s="51" t="s">
        <v>387</v>
      </c>
      <c r="G74" s="51"/>
      <c r="H74" s="51"/>
      <c r="I74" s="79" t="s">
        <v>219</v>
      </c>
      <c r="J74" s="95" t="s">
        <v>1069</v>
      </c>
      <c r="K74" s="51" t="s">
        <v>1068</v>
      </c>
      <c r="L74" s="98"/>
      <c r="M74" s="83" t="s">
        <v>220</v>
      </c>
      <c r="N74" s="83"/>
      <c r="O74" s="83"/>
      <c r="P74" s="87"/>
      <c r="Q74" s="83"/>
      <c r="R74" t="s">
        <v>524</v>
      </c>
      <c r="S74" t="s">
        <v>525</v>
      </c>
      <c r="T74" t="s">
        <v>526</v>
      </c>
      <c r="X74" s="79" t="s">
        <v>419</v>
      </c>
    </row>
    <row r="75" spans="1:24" ht="15" x14ac:dyDescent="0.25">
      <c r="A75" s="76" t="s">
        <v>215</v>
      </c>
      <c r="B75" s="84" t="s">
        <v>527</v>
      </c>
      <c r="C75" s="51">
        <v>2186</v>
      </c>
      <c r="D75" s="51" t="s">
        <v>1070</v>
      </c>
      <c r="E75"/>
      <c r="F75" s="51" t="s">
        <v>387</v>
      </c>
      <c r="G75"/>
      <c r="H75"/>
      <c r="I75" t="s">
        <v>219</v>
      </c>
      <c r="J75" s="95" t="s">
        <v>1071</v>
      </c>
      <c r="K75" s="51" t="s">
        <v>1070</v>
      </c>
      <c r="L75" s="98"/>
      <c r="M75" s="83" t="s">
        <v>220</v>
      </c>
      <c r="N75" s="83"/>
      <c r="O75" s="83"/>
      <c r="P75" s="87"/>
      <c r="Q75" s="83"/>
      <c r="R75" t="s">
        <v>528</v>
      </c>
      <c r="S75" t="s">
        <v>529</v>
      </c>
      <c r="T75" t="s">
        <v>530</v>
      </c>
      <c r="X75" s="79" t="s">
        <v>531</v>
      </c>
    </row>
    <row r="76" spans="1:24" x14ac:dyDescent="0.2">
      <c r="A76" s="76" t="s">
        <v>215</v>
      </c>
      <c r="B76" s="84" t="s">
        <v>532</v>
      </c>
      <c r="C76" s="107" t="s">
        <v>533</v>
      </c>
      <c r="D76" s="107" t="s">
        <v>1212</v>
      </c>
      <c r="E76" s="107">
        <v>1485</v>
      </c>
      <c r="F76" s="107" t="s">
        <v>314</v>
      </c>
      <c r="G76" s="107"/>
      <c r="H76" s="107"/>
      <c r="I76" s="108" t="s">
        <v>219</v>
      </c>
      <c r="J76" s="109" t="s">
        <v>1072</v>
      </c>
      <c r="K76" s="107" t="s">
        <v>1212</v>
      </c>
      <c r="L76" s="86"/>
      <c r="M76" s="83" t="s">
        <v>220</v>
      </c>
      <c r="N76" s="83"/>
      <c r="O76" s="83"/>
      <c r="P76" s="87"/>
      <c r="Q76" s="83"/>
      <c r="T76" s="79" t="s">
        <v>534</v>
      </c>
    </row>
    <row r="77" spans="1:24" x14ac:dyDescent="0.2">
      <c r="B77" s="79" t="s">
        <v>535</v>
      </c>
      <c r="C77" s="46" t="s">
        <v>536</v>
      </c>
      <c r="D77" s="46" t="s">
        <v>1169</v>
      </c>
      <c r="F77" s="46" t="s">
        <v>537</v>
      </c>
      <c r="G77" s="46"/>
      <c r="H77" s="46" t="s">
        <v>538</v>
      </c>
      <c r="I77" s="79" t="s">
        <v>322</v>
      </c>
      <c r="J77" s="82" t="s">
        <v>237</v>
      </c>
      <c r="K77" s="46" t="s">
        <v>1169</v>
      </c>
      <c r="M77" s="83" t="s">
        <v>323</v>
      </c>
      <c r="N77" s="83"/>
      <c r="O77" s="83"/>
      <c r="P77" s="87"/>
      <c r="Q77" s="83"/>
    </row>
    <row r="78" spans="1:24" x14ac:dyDescent="0.2">
      <c r="B78" s="79" t="s">
        <v>539</v>
      </c>
      <c r="C78" s="46" t="s">
        <v>540</v>
      </c>
      <c r="D78" s="46" t="s">
        <v>1170</v>
      </c>
      <c r="F78" s="46" t="s">
        <v>541</v>
      </c>
      <c r="G78" s="46"/>
      <c r="H78" s="46" t="s">
        <v>542</v>
      </c>
      <c r="I78" s="79" t="s">
        <v>322</v>
      </c>
      <c r="J78" s="82" t="s">
        <v>237</v>
      </c>
      <c r="K78" s="46" t="s">
        <v>1170</v>
      </c>
      <c r="M78" s="83" t="s">
        <v>323</v>
      </c>
      <c r="N78" s="83"/>
      <c r="O78" s="83"/>
      <c r="P78" s="87"/>
      <c r="Q78" s="83"/>
    </row>
    <row r="79" spans="1:24" x14ac:dyDescent="0.2">
      <c r="A79" s="76" t="s">
        <v>215</v>
      </c>
      <c r="B79" s="84" t="s">
        <v>543</v>
      </c>
      <c r="C79" s="46" t="s">
        <v>544</v>
      </c>
      <c r="D79" s="51" t="s">
        <v>1073</v>
      </c>
      <c r="E79" s="51">
        <v>325</v>
      </c>
      <c r="F79" s="51" t="s">
        <v>332</v>
      </c>
      <c r="G79" s="51"/>
      <c r="H79" s="51"/>
      <c r="I79" s="79" t="s">
        <v>219</v>
      </c>
      <c r="J79" s="85" t="s">
        <v>1074</v>
      </c>
      <c r="K79" s="51" t="s">
        <v>1073</v>
      </c>
      <c r="L79" s="86"/>
      <c r="M79" s="83" t="s">
        <v>220</v>
      </c>
      <c r="N79" s="83"/>
      <c r="O79" s="83"/>
      <c r="P79" s="87"/>
      <c r="Q79" s="83"/>
      <c r="R79" s="79" t="s">
        <v>545</v>
      </c>
      <c r="S79" s="79" t="s">
        <v>546</v>
      </c>
      <c r="T79" s="79" t="s">
        <v>547</v>
      </c>
    </row>
    <row r="80" spans="1:24" x14ac:dyDescent="0.2">
      <c r="A80" s="76" t="s">
        <v>215</v>
      </c>
      <c r="B80" s="84" t="s">
        <v>548</v>
      </c>
      <c r="C80" s="46" t="s">
        <v>549</v>
      </c>
      <c r="D80" s="51" t="s">
        <v>1075</v>
      </c>
      <c r="E80" s="93"/>
      <c r="F80" s="51" t="s">
        <v>332</v>
      </c>
      <c r="G80" s="51"/>
      <c r="H80" s="51"/>
      <c r="I80" s="79" t="s">
        <v>219</v>
      </c>
      <c r="J80" s="87" t="s">
        <v>1076</v>
      </c>
      <c r="K80" s="51" t="s">
        <v>1075</v>
      </c>
      <c r="L80" s="86"/>
      <c r="M80" s="83" t="s">
        <v>220</v>
      </c>
      <c r="N80" s="83"/>
      <c r="O80" s="83"/>
      <c r="P80" s="87"/>
      <c r="Q80" s="83"/>
      <c r="R80" s="79" t="s">
        <v>550</v>
      </c>
      <c r="S80" s="79" t="s">
        <v>551</v>
      </c>
      <c r="T80" s="79" t="s">
        <v>552</v>
      </c>
    </row>
    <row r="81" spans="1:24" x14ac:dyDescent="0.2">
      <c r="B81" s="79" t="s">
        <v>553</v>
      </c>
      <c r="C81" s="46" t="s">
        <v>554</v>
      </c>
      <c r="D81" s="52" t="s">
        <v>1171</v>
      </c>
      <c r="F81" s="52" t="s">
        <v>555</v>
      </c>
      <c r="G81" s="46" t="s">
        <v>556</v>
      </c>
      <c r="H81" s="46" t="s">
        <v>556</v>
      </c>
      <c r="I81" s="79" t="s">
        <v>211</v>
      </c>
      <c r="J81" s="82" t="s">
        <v>237</v>
      </c>
      <c r="K81" s="52" t="s">
        <v>1171</v>
      </c>
      <c r="M81" s="83" t="s">
        <v>212</v>
      </c>
      <c r="N81" s="83"/>
      <c r="O81" s="83"/>
      <c r="P81" s="87"/>
      <c r="Q81" s="83"/>
    </row>
    <row r="82" spans="1:24" x14ac:dyDescent="0.2">
      <c r="B82" s="79" t="s">
        <v>557</v>
      </c>
      <c r="C82" s="46" t="s">
        <v>558</v>
      </c>
      <c r="D82" s="52" t="s">
        <v>1172</v>
      </c>
      <c r="F82" s="52" t="s">
        <v>559</v>
      </c>
      <c r="G82" s="46" t="s">
        <v>560</v>
      </c>
      <c r="H82" s="46" t="s">
        <v>560</v>
      </c>
      <c r="I82" s="79" t="s">
        <v>211</v>
      </c>
      <c r="J82" s="82" t="s">
        <v>237</v>
      </c>
      <c r="K82" s="52" t="s">
        <v>1172</v>
      </c>
      <c r="M82" s="83" t="s">
        <v>212</v>
      </c>
      <c r="N82" s="83"/>
      <c r="O82" s="83"/>
      <c r="P82" s="87"/>
      <c r="Q82" s="83"/>
    </row>
    <row r="83" spans="1:24" x14ac:dyDescent="0.2">
      <c r="B83" s="79" t="s">
        <v>561</v>
      </c>
      <c r="C83" s="46" t="s">
        <v>562</v>
      </c>
      <c r="D83" s="52" t="s">
        <v>1173</v>
      </c>
      <c r="F83" s="52" t="s">
        <v>322</v>
      </c>
      <c r="G83" s="46" t="s">
        <v>563</v>
      </c>
      <c r="H83" s="46" t="s">
        <v>563</v>
      </c>
      <c r="I83" s="79" t="s">
        <v>211</v>
      </c>
      <c r="J83" s="82" t="s">
        <v>237</v>
      </c>
      <c r="K83" s="52" t="s">
        <v>1173</v>
      </c>
      <c r="M83" s="83" t="s">
        <v>212</v>
      </c>
      <c r="N83" s="83"/>
      <c r="O83" s="83"/>
      <c r="P83" s="87"/>
      <c r="Q83" s="83"/>
    </row>
    <row r="84" spans="1:24" x14ac:dyDescent="0.2">
      <c r="B84" s="79" t="s">
        <v>564</v>
      </c>
      <c r="C84" s="46" t="s">
        <v>565</v>
      </c>
      <c r="D84" s="52" t="s">
        <v>1174</v>
      </c>
      <c r="F84" s="52" t="s">
        <v>566</v>
      </c>
      <c r="G84" s="46" t="s">
        <v>567</v>
      </c>
      <c r="H84" s="46" t="s">
        <v>567</v>
      </c>
      <c r="I84" s="79" t="s">
        <v>211</v>
      </c>
      <c r="J84" s="82" t="s">
        <v>237</v>
      </c>
      <c r="K84" s="52" t="s">
        <v>1174</v>
      </c>
      <c r="M84" s="83" t="s">
        <v>212</v>
      </c>
      <c r="N84" s="83"/>
      <c r="O84" s="83"/>
      <c r="P84" s="87"/>
      <c r="Q84" s="83"/>
    </row>
    <row r="85" spans="1:24" x14ac:dyDescent="0.2">
      <c r="B85" s="79" t="s">
        <v>568</v>
      </c>
      <c r="C85" s="46" t="s">
        <v>569</v>
      </c>
      <c r="D85" s="52" t="s">
        <v>1175</v>
      </c>
      <c r="F85" s="52" t="s">
        <v>570</v>
      </c>
      <c r="G85" s="46" t="s">
        <v>571</v>
      </c>
      <c r="H85" s="46" t="s">
        <v>571</v>
      </c>
      <c r="I85" s="79" t="s">
        <v>211</v>
      </c>
      <c r="J85" s="82" t="s">
        <v>237</v>
      </c>
      <c r="K85" s="52" t="s">
        <v>1175</v>
      </c>
      <c r="M85" s="83" t="s">
        <v>212</v>
      </c>
      <c r="N85" s="83"/>
      <c r="O85" s="83"/>
      <c r="P85" s="87"/>
      <c r="Q85" s="83"/>
    </row>
    <row r="86" spans="1:24" x14ac:dyDescent="0.2">
      <c r="B86" s="79" t="s">
        <v>572</v>
      </c>
      <c r="C86" s="46" t="s">
        <v>573</v>
      </c>
      <c r="D86" s="52" t="s">
        <v>1176</v>
      </c>
      <c r="F86" s="52" t="s">
        <v>574</v>
      </c>
      <c r="G86" s="46" t="s">
        <v>575</v>
      </c>
      <c r="H86" s="46" t="s">
        <v>575</v>
      </c>
      <c r="I86" s="79" t="s">
        <v>211</v>
      </c>
      <c r="J86" s="82" t="s">
        <v>237</v>
      </c>
      <c r="K86" s="52" t="s">
        <v>1176</v>
      </c>
      <c r="M86" s="83" t="s">
        <v>212</v>
      </c>
      <c r="N86" s="83"/>
      <c r="O86" s="83"/>
      <c r="P86" s="87"/>
      <c r="Q86" s="83"/>
    </row>
    <row r="87" spans="1:24" x14ac:dyDescent="0.2">
      <c r="A87" s="99"/>
      <c r="B87" s="99" t="s">
        <v>576</v>
      </c>
      <c r="C87" s="100">
        <v>2551</v>
      </c>
      <c r="D87" s="100" t="s">
        <v>577</v>
      </c>
      <c r="E87" s="100"/>
      <c r="F87" s="100" t="s">
        <v>578</v>
      </c>
      <c r="G87" s="100">
        <v>812805048</v>
      </c>
      <c r="H87" s="100">
        <v>812805048</v>
      </c>
      <c r="I87" s="99" t="s">
        <v>211</v>
      </c>
      <c r="J87" s="99"/>
      <c r="K87" s="100" t="s">
        <v>577</v>
      </c>
      <c r="L87" s="99"/>
      <c r="M87" s="101"/>
      <c r="N87" s="101"/>
      <c r="O87" s="101"/>
      <c r="P87" s="105"/>
      <c r="Q87" s="101"/>
      <c r="R87" s="99"/>
      <c r="S87" s="99"/>
      <c r="T87" s="99"/>
      <c r="U87" s="99"/>
      <c r="V87" s="99"/>
      <c r="W87" s="99"/>
      <c r="X87" s="99"/>
    </row>
    <row r="88" spans="1:24" x14ac:dyDescent="0.2">
      <c r="A88" s="76" t="s">
        <v>215</v>
      </c>
      <c r="B88" s="84" t="s">
        <v>579</v>
      </c>
      <c r="C88" s="107" t="s">
        <v>580</v>
      </c>
      <c r="D88" s="107" t="s">
        <v>1213</v>
      </c>
      <c r="E88" s="107">
        <v>486</v>
      </c>
      <c r="F88" s="107" t="s">
        <v>387</v>
      </c>
      <c r="G88" s="107"/>
      <c r="H88" s="107"/>
      <c r="I88" s="108" t="s">
        <v>219</v>
      </c>
      <c r="J88" s="109" t="s">
        <v>1077</v>
      </c>
      <c r="K88" s="107" t="s">
        <v>1213</v>
      </c>
      <c r="L88" s="86"/>
      <c r="M88" s="83" t="s">
        <v>220</v>
      </c>
      <c r="N88" s="83"/>
      <c r="O88" s="83"/>
      <c r="P88" s="87"/>
      <c r="Q88" s="83"/>
      <c r="R88" s="79" t="s">
        <v>581</v>
      </c>
      <c r="S88" s="79" t="s">
        <v>582</v>
      </c>
      <c r="T88" s="79" t="s">
        <v>583</v>
      </c>
    </row>
    <row r="89" spans="1:24" x14ac:dyDescent="0.2">
      <c r="A89" s="76" t="s">
        <v>251</v>
      </c>
      <c r="B89" s="84" t="s">
        <v>584</v>
      </c>
      <c r="C89" s="51" t="s">
        <v>585</v>
      </c>
      <c r="D89" s="51" t="s">
        <v>1078</v>
      </c>
      <c r="E89" s="51">
        <v>1449</v>
      </c>
      <c r="F89" s="51" t="s">
        <v>387</v>
      </c>
      <c r="G89" s="51">
        <v>498955491</v>
      </c>
      <c r="H89" s="51">
        <v>498955491</v>
      </c>
      <c r="I89" s="79" t="s">
        <v>219</v>
      </c>
      <c r="J89" s="85" t="s">
        <v>1079</v>
      </c>
      <c r="K89" s="51" t="s">
        <v>1078</v>
      </c>
      <c r="L89" s="86"/>
      <c r="M89" s="83" t="s">
        <v>220</v>
      </c>
      <c r="N89" s="83"/>
      <c r="O89" s="83"/>
      <c r="P89" s="87"/>
      <c r="Q89" s="83"/>
    </row>
    <row r="90" spans="1:24" x14ac:dyDescent="0.2">
      <c r="B90" s="84" t="s">
        <v>1220</v>
      </c>
      <c r="C90" s="51">
        <v>2864</v>
      </c>
      <c r="D90" s="51" t="s">
        <v>1221</v>
      </c>
      <c r="E90" s="51"/>
      <c r="F90" s="51"/>
      <c r="G90" s="51">
        <v>144872220</v>
      </c>
      <c r="H90" s="51">
        <v>144872220</v>
      </c>
      <c r="I90" s="79" t="s">
        <v>211</v>
      </c>
      <c r="J90" s="85"/>
      <c r="K90" s="51" t="s">
        <v>1221</v>
      </c>
      <c r="L90" s="86"/>
      <c r="M90" s="83" t="s">
        <v>212</v>
      </c>
      <c r="N90" s="83"/>
      <c r="O90" s="83"/>
      <c r="P90" s="87"/>
      <c r="Q90" s="83"/>
    </row>
    <row r="91" spans="1:24" x14ac:dyDescent="0.2">
      <c r="B91" s="79" t="s">
        <v>586</v>
      </c>
      <c r="C91" s="46" t="s">
        <v>587</v>
      </c>
      <c r="D91" s="52" t="s">
        <v>1177</v>
      </c>
      <c r="F91" s="52" t="s">
        <v>588</v>
      </c>
      <c r="G91" s="46"/>
      <c r="H91" s="46" t="s">
        <v>589</v>
      </c>
      <c r="I91" s="79" t="s">
        <v>322</v>
      </c>
      <c r="J91" s="82" t="s">
        <v>237</v>
      </c>
      <c r="K91" s="52" t="s">
        <v>1177</v>
      </c>
      <c r="M91" s="83" t="s">
        <v>323</v>
      </c>
      <c r="N91" s="83"/>
      <c r="O91" s="83"/>
      <c r="P91" s="87"/>
      <c r="Q91" s="83"/>
    </row>
    <row r="92" spans="1:24" x14ac:dyDescent="0.2">
      <c r="B92" s="79" t="s">
        <v>590</v>
      </c>
      <c r="C92" s="46" t="s">
        <v>591</v>
      </c>
      <c r="D92" s="52" t="s">
        <v>1178</v>
      </c>
      <c r="F92" s="52" t="s">
        <v>592</v>
      </c>
      <c r="G92" s="46"/>
      <c r="H92" s="46" t="s">
        <v>593</v>
      </c>
      <c r="I92" s="79" t="s">
        <v>322</v>
      </c>
      <c r="J92" s="82" t="s">
        <v>237</v>
      </c>
      <c r="K92" s="52" t="s">
        <v>1178</v>
      </c>
      <c r="M92" s="83" t="s">
        <v>323</v>
      </c>
      <c r="N92" s="83"/>
      <c r="O92" s="83"/>
      <c r="P92" s="87"/>
      <c r="Q92" s="83"/>
    </row>
    <row r="93" spans="1:24" x14ac:dyDescent="0.2">
      <c r="A93" s="76" t="s">
        <v>215</v>
      </c>
      <c r="B93" s="84" t="s">
        <v>594</v>
      </c>
      <c r="C93" s="107" t="s">
        <v>595</v>
      </c>
      <c r="D93" s="107" t="s">
        <v>1214</v>
      </c>
      <c r="E93" s="107">
        <v>289</v>
      </c>
      <c r="F93" s="107" t="s">
        <v>254</v>
      </c>
      <c r="G93" s="107">
        <v>495002347</v>
      </c>
      <c r="H93" s="107">
        <v>495002347</v>
      </c>
      <c r="I93" s="108" t="s">
        <v>219</v>
      </c>
      <c r="J93" s="109" t="s">
        <v>1080</v>
      </c>
      <c r="K93" s="107" t="s">
        <v>1214</v>
      </c>
      <c r="L93" s="86"/>
      <c r="M93" s="83" t="s">
        <v>220</v>
      </c>
      <c r="N93" s="83"/>
      <c r="O93" s="83"/>
      <c r="P93" s="87"/>
      <c r="Q93" s="83"/>
      <c r="R93" s="79" t="s">
        <v>596</v>
      </c>
      <c r="S93" s="79" t="s">
        <v>597</v>
      </c>
      <c r="T93" s="79" t="s">
        <v>598</v>
      </c>
      <c r="W93" s="79" t="s">
        <v>599</v>
      </c>
    </row>
    <row r="94" spans="1:24" x14ac:dyDescent="0.2">
      <c r="A94" s="76" t="s">
        <v>215</v>
      </c>
      <c r="B94" s="84" t="s">
        <v>600</v>
      </c>
      <c r="C94" s="46" t="s">
        <v>601</v>
      </c>
      <c r="D94" s="51" t="s">
        <v>1081</v>
      </c>
      <c r="E94" s="51">
        <v>405</v>
      </c>
      <c r="F94" s="51" t="s">
        <v>254</v>
      </c>
      <c r="G94" s="51"/>
      <c r="H94" s="51"/>
      <c r="I94" s="79" t="s">
        <v>219</v>
      </c>
      <c r="J94" s="85" t="s">
        <v>1082</v>
      </c>
      <c r="K94" s="51" t="s">
        <v>1081</v>
      </c>
      <c r="L94" s="86"/>
      <c r="M94" s="83" t="s">
        <v>220</v>
      </c>
      <c r="N94" s="83"/>
      <c r="O94" s="83"/>
      <c r="P94" s="87"/>
      <c r="Q94" s="83"/>
    </row>
    <row r="95" spans="1:24" x14ac:dyDescent="0.2">
      <c r="A95" s="76" t="s">
        <v>215</v>
      </c>
      <c r="B95" s="84" t="s">
        <v>602</v>
      </c>
      <c r="C95" s="46" t="s">
        <v>603</v>
      </c>
      <c r="D95" s="51" t="s">
        <v>1083</v>
      </c>
      <c r="E95" s="93" t="s">
        <v>604</v>
      </c>
      <c r="F95" s="51" t="s">
        <v>387</v>
      </c>
      <c r="G95" s="51">
        <v>344917836</v>
      </c>
      <c r="H95" s="51">
        <v>344917836</v>
      </c>
      <c r="I95" s="79" t="s">
        <v>219</v>
      </c>
      <c r="J95" s="87" t="s">
        <v>1084</v>
      </c>
      <c r="K95" s="51" t="s">
        <v>1083</v>
      </c>
      <c r="L95" s="86"/>
      <c r="M95" s="83" t="s">
        <v>220</v>
      </c>
      <c r="N95" s="83"/>
      <c r="O95" s="83"/>
      <c r="P95" s="87"/>
      <c r="Q95" s="83"/>
      <c r="R95" s="79" t="s">
        <v>605</v>
      </c>
      <c r="S95" s="79" t="s">
        <v>606</v>
      </c>
      <c r="T95" s="79" t="s">
        <v>607</v>
      </c>
    </row>
    <row r="96" spans="1:24" x14ac:dyDescent="0.2">
      <c r="A96" s="76" t="s">
        <v>215</v>
      </c>
      <c r="B96" s="84" t="s">
        <v>608</v>
      </c>
      <c r="C96" s="46" t="s">
        <v>609</v>
      </c>
      <c r="D96" s="51" t="s">
        <v>1085</v>
      </c>
      <c r="E96" s="93">
        <v>1535</v>
      </c>
      <c r="F96" s="51" t="s">
        <v>387</v>
      </c>
      <c r="G96" s="51">
        <v>344917836</v>
      </c>
      <c r="H96" s="51">
        <v>344917836</v>
      </c>
      <c r="I96" s="79" t="s">
        <v>219</v>
      </c>
      <c r="J96" s="87" t="s">
        <v>1086</v>
      </c>
      <c r="K96" s="51" t="s">
        <v>1085</v>
      </c>
      <c r="L96" s="86"/>
      <c r="M96" s="83" t="s">
        <v>220</v>
      </c>
      <c r="N96" s="83"/>
      <c r="O96" s="83"/>
      <c r="P96" s="87"/>
      <c r="Q96" s="83"/>
      <c r="R96" s="79" t="s">
        <v>605</v>
      </c>
      <c r="S96" s="79" t="s">
        <v>606</v>
      </c>
      <c r="T96" s="79" t="s">
        <v>607</v>
      </c>
    </row>
    <row r="97" spans="1:20" x14ac:dyDescent="0.2">
      <c r="B97" s="79" t="s">
        <v>610</v>
      </c>
      <c r="C97" s="46" t="s">
        <v>611</v>
      </c>
      <c r="D97" s="52" t="s">
        <v>1179</v>
      </c>
      <c r="F97" s="52" t="s">
        <v>612</v>
      </c>
      <c r="G97" s="46" t="s">
        <v>613</v>
      </c>
      <c r="H97" s="46" t="s">
        <v>613</v>
      </c>
      <c r="I97" s="79" t="s">
        <v>211</v>
      </c>
      <c r="J97" s="82" t="s">
        <v>237</v>
      </c>
      <c r="K97" s="52" t="s">
        <v>1179</v>
      </c>
      <c r="M97" s="83" t="s">
        <v>212</v>
      </c>
      <c r="N97" s="83"/>
      <c r="O97" s="83"/>
      <c r="P97" s="87"/>
      <c r="Q97" s="83"/>
    </row>
    <row r="98" spans="1:20" x14ac:dyDescent="0.2">
      <c r="B98" s="79" t="s">
        <v>614</v>
      </c>
      <c r="C98" s="46" t="s">
        <v>615</v>
      </c>
      <c r="D98" s="52" t="s">
        <v>1180</v>
      </c>
      <c r="F98" s="52" t="s">
        <v>616</v>
      </c>
      <c r="G98" s="46" t="s">
        <v>617</v>
      </c>
      <c r="H98" s="46" t="s">
        <v>617</v>
      </c>
      <c r="I98" s="79" t="s">
        <v>211</v>
      </c>
      <c r="J98" s="82" t="s">
        <v>237</v>
      </c>
      <c r="K98" s="52" t="s">
        <v>1180</v>
      </c>
      <c r="M98" s="83" t="s">
        <v>212</v>
      </c>
      <c r="N98" s="83"/>
      <c r="O98" s="83"/>
      <c r="P98" s="87"/>
      <c r="Q98" s="83"/>
    </row>
    <row r="99" spans="1:20" x14ac:dyDescent="0.2">
      <c r="B99" s="79" t="s">
        <v>618</v>
      </c>
      <c r="C99" s="46" t="s">
        <v>619</v>
      </c>
      <c r="D99" s="52" t="s">
        <v>1181</v>
      </c>
      <c r="F99" s="52" t="s">
        <v>387</v>
      </c>
      <c r="G99" s="46" t="s">
        <v>620</v>
      </c>
      <c r="H99" s="46" t="s">
        <v>620</v>
      </c>
      <c r="I99" s="79" t="s">
        <v>211</v>
      </c>
      <c r="J99" s="82" t="s">
        <v>237</v>
      </c>
      <c r="K99" s="52" t="s">
        <v>1181</v>
      </c>
      <c r="M99" s="83" t="s">
        <v>212</v>
      </c>
      <c r="N99" s="83"/>
      <c r="O99" s="83"/>
      <c r="P99" s="87"/>
      <c r="Q99" s="83"/>
    </row>
    <row r="100" spans="1:20" x14ac:dyDescent="0.2">
      <c r="B100" s="79" t="s">
        <v>621</v>
      </c>
      <c r="C100" s="46" t="s">
        <v>622</v>
      </c>
      <c r="D100" s="46" t="s">
        <v>1182</v>
      </c>
      <c r="F100" s="46" t="s">
        <v>623</v>
      </c>
      <c r="G100" s="46"/>
      <c r="H100" s="46" t="s">
        <v>624</v>
      </c>
      <c r="I100" s="79" t="s">
        <v>322</v>
      </c>
      <c r="J100" s="82" t="s">
        <v>237</v>
      </c>
      <c r="K100" s="46" t="s">
        <v>1182</v>
      </c>
      <c r="M100" s="83" t="s">
        <v>323</v>
      </c>
      <c r="N100" s="83"/>
      <c r="O100" s="83"/>
      <c r="P100" s="87"/>
      <c r="Q100" s="83"/>
    </row>
    <row r="101" spans="1:20" x14ac:dyDescent="0.2">
      <c r="B101" s="79" t="s">
        <v>625</v>
      </c>
      <c r="C101" s="46" t="s">
        <v>626</v>
      </c>
      <c r="D101" s="46" t="s">
        <v>1183</v>
      </c>
      <c r="F101" s="46" t="s">
        <v>627</v>
      </c>
      <c r="G101" s="46"/>
      <c r="H101" s="46" t="s">
        <v>628</v>
      </c>
      <c r="I101" s="79" t="s">
        <v>322</v>
      </c>
      <c r="J101" s="82" t="s">
        <v>237</v>
      </c>
      <c r="K101" s="46" t="s">
        <v>1183</v>
      </c>
      <c r="M101" s="83" t="s">
        <v>323</v>
      </c>
      <c r="N101" s="83"/>
      <c r="O101" s="83"/>
      <c r="P101" s="87"/>
      <c r="Q101" s="83"/>
    </row>
    <row r="102" spans="1:20" x14ac:dyDescent="0.2">
      <c r="B102" s="79" t="s">
        <v>629</v>
      </c>
      <c r="C102" s="46" t="s">
        <v>630</v>
      </c>
      <c r="D102" s="46" t="s">
        <v>1184</v>
      </c>
      <c r="F102" s="46" t="s">
        <v>631</v>
      </c>
      <c r="G102" s="46"/>
      <c r="H102" s="46" t="s">
        <v>632</v>
      </c>
      <c r="I102" s="79" t="s">
        <v>322</v>
      </c>
      <c r="J102" s="82" t="s">
        <v>237</v>
      </c>
      <c r="K102" s="46" t="s">
        <v>1184</v>
      </c>
      <c r="M102" s="83" t="s">
        <v>323</v>
      </c>
      <c r="N102" s="83"/>
      <c r="O102" s="83"/>
      <c r="P102" s="87"/>
      <c r="Q102" s="83"/>
    </row>
    <row r="103" spans="1:20" x14ac:dyDescent="0.2">
      <c r="B103" s="79" t="s">
        <v>633</v>
      </c>
      <c r="C103" s="46" t="s">
        <v>634</v>
      </c>
      <c r="D103" s="46" t="s">
        <v>1185</v>
      </c>
      <c r="F103" s="46" t="s">
        <v>635</v>
      </c>
      <c r="G103" s="46"/>
      <c r="H103" s="46" t="s">
        <v>636</v>
      </c>
      <c r="I103" s="79" t="s">
        <v>322</v>
      </c>
      <c r="J103" s="82" t="s">
        <v>237</v>
      </c>
      <c r="K103" s="46" t="s">
        <v>1185</v>
      </c>
      <c r="M103" s="83" t="s">
        <v>323</v>
      </c>
      <c r="N103" s="83"/>
      <c r="O103" s="83"/>
      <c r="P103" s="87"/>
      <c r="Q103" s="83"/>
    </row>
    <row r="104" spans="1:20" x14ac:dyDescent="0.2">
      <c r="B104" s="79" t="s">
        <v>637</v>
      </c>
      <c r="C104" s="46" t="s">
        <v>638</v>
      </c>
      <c r="D104" s="52" t="s">
        <v>1186</v>
      </c>
      <c r="F104" s="52" t="s">
        <v>639</v>
      </c>
      <c r="G104" s="46" t="s">
        <v>640</v>
      </c>
      <c r="H104" s="46" t="s">
        <v>640</v>
      </c>
      <c r="I104" s="79" t="s">
        <v>211</v>
      </c>
      <c r="J104" s="82" t="s">
        <v>237</v>
      </c>
      <c r="K104" s="52" t="s">
        <v>1186</v>
      </c>
      <c r="M104" s="83" t="s">
        <v>212</v>
      </c>
      <c r="N104" s="83"/>
      <c r="O104" s="83"/>
      <c r="P104" s="87"/>
      <c r="Q104" s="83"/>
    </row>
    <row r="105" spans="1:20" x14ac:dyDescent="0.2">
      <c r="A105" s="76" t="s">
        <v>215</v>
      </c>
      <c r="B105" s="84" t="s">
        <v>641</v>
      </c>
      <c r="C105" s="46" t="s">
        <v>642</v>
      </c>
      <c r="D105" s="51" t="s">
        <v>1087</v>
      </c>
      <c r="E105" s="51">
        <v>943</v>
      </c>
      <c r="F105" s="51" t="s">
        <v>248</v>
      </c>
      <c r="G105" s="51"/>
      <c r="H105" s="51"/>
      <c r="I105" s="79" t="s">
        <v>219</v>
      </c>
      <c r="J105" s="85" t="s">
        <v>1088</v>
      </c>
      <c r="K105" s="51" t="s">
        <v>1087</v>
      </c>
      <c r="L105" s="86"/>
      <c r="M105" s="83" t="s">
        <v>220</v>
      </c>
      <c r="N105" s="83"/>
      <c r="O105" s="83"/>
      <c r="P105" s="87"/>
      <c r="Q105" s="83"/>
      <c r="R105" s="79" t="s">
        <v>643</v>
      </c>
      <c r="S105" s="79" t="s">
        <v>644</v>
      </c>
      <c r="T105" s="79" t="s">
        <v>645</v>
      </c>
    </row>
    <row r="106" spans="1:20" x14ac:dyDescent="0.2">
      <c r="A106" s="76" t="s">
        <v>215</v>
      </c>
      <c r="B106" s="91" t="s">
        <v>646</v>
      </c>
      <c r="C106" s="46" t="s">
        <v>647</v>
      </c>
      <c r="D106" s="52" t="s">
        <v>1089</v>
      </c>
      <c r="G106" s="46" t="s">
        <v>648</v>
      </c>
      <c r="H106" s="46" t="s">
        <v>648</v>
      </c>
      <c r="I106" s="79" t="s">
        <v>219</v>
      </c>
      <c r="J106" s="87" t="s">
        <v>1090</v>
      </c>
      <c r="K106" s="52" t="s">
        <v>1089</v>
      </c>
      <c r="L106" s="88"/>
      <c r="M106" s="83" t="s">
        <v>220</v>
      </c>
      <c r="N106" s="83"/>
      <c r="O106" s="83"/>
      <c r="P106" s="87"/>
      <c r="Q106" s="83"/>
      <c r="R106" s="79" t="s">
        <v>649</v>
      </c>
      <c r="S106" s="79" t="s">
        <v>650</v>
      </c>
      <c r="T106" s="79" t="s">
        <v>651</v>
      </c>
    </row>
    <row r="107" spans="1:20" x14ac:dyDescent="0.2">
      <c r="A107" s="76" t="s">
        <v>215</v>
      </c>
      <c r="B107" s="91" t="s">
        <v>652</v>
      </c>
      <c r="C107" s="46" t="s">
        <v>653</v>
      </c>
      <c r="D107" s="52" t="s">
        <v>1091</v>
      </c>
      <c r="G107" s="46" t="s">
        <v>648</v>
      </c>
      <c r="H107" s="46" t="s">
        <v>648</v>
      </c>
      <c r="I107" s="79" t="s">
        <v>219</v>
      </c>
      <c r="J107" s="87" t="s">
        <v>1092</v>
      </c>
      <c r="K107" s="52" t="s">
        <v>1091</v>
      </c>
      <c r="L107" s="88"/>
      <c r="M107" s="83" t="s">
        <v>220</v>
      </c>
      <c r="N107" s="83"/>
      <c r="O107" s="83"/>
      <c r="P107" s="87"/>
      <c r="Q107" s="83"/>
    </row>
    <row r="108" spans="1:20" x14ac:dyDescent="0.2">
      <c r="A108" s="76" t="s">
        <v>215</v>
      </c>
      <c r="B108" s="90" t="s">
        <v>654</v>
      </c>
      <c r="C108" s="46" t="s">
        <v>655</v>
      </c>
      <c r="D108" s="52" t="s">
        <v>1093</v>
      </c>
      <c r="G108" s="46" t="s">
        <v>656</v>
      </c>
      <c r="H108" s="46" t="s">
        <v>656</v>
      </c>
      <c r="I108" s="79" t="s">
        <v>219</v>
      </c>
      <c r="J108" s="87" t="s">
        <v>1094</v>
      </c>
      <c r="K108" s="52" t="s">
        <v>1093</v>
      </c>
      <c r="L108" s="88"/>
      <c r="M108" s="89" t="s">
        <v>212</v>
      </c>
      <c r="N108" s="83"/>
      <c r="O108" s="83"/>
      <c r="P108" s="87"/>
      <c r="Q108" s="89"/>
    </row>
    <row r="109" spans="1:20" x14ac:dyDescent="0.2">
      <c r="A109" s="76" t="s">
        <v>215</v>
      </c>
      <c r="B109" s="84" t="s">
        <v>657</v>
      </c>
      <c r="C109" s="46" t="s">
        <v>658</v>
      </c>
      <c r="D109" s="51" t="s">
        <v>1095</v>
      </c>
      <c r="E109" s="51">
        <v>265</v>
      </c>
      <c r="F109" s="51" t="s">
        <v>275</v>
      </c>
      <c r="G109" s="51"/>
      <c r="H109" s="51"/>
      <c r="I109" s="79" t="s">
        <v>219</v>
      </c>
      <c r="J109" s="85" t="s">
        <v>1096</v>
      </c>
      <c r="K109" s="51" t="s">
        <v>1095</v>
      </c>
      <c r="L109" s="86"/>
      <c r="M109" s="83" t="s">
        <v>220</v>
      </c>
      <c r="N109" s="83"/>
      <c r="O109" s="83"/>
      <c r="P109" s="87"/>
      <c r="Q109" s="83"/>
      <c r="R109" s="79" t="s">
        <v>659</v>
      </c>
      <c r="S109" s="79" t="s">
        <v>660</v>
      </c>
      <c r="T109" s="79" t="s">
        <v>661</v>
      </c>
    </row>
    <row r="110" spans="1:20" x14ac:dyDescent="0.2">
      <c r="A110" s="76" t="s">
        <v>215</v>
      </c>
      <c r="B110" s="84" t="s">
        <v>662</v>
      </c>
      <c r="C110" s="107" t="s">
        <v>663</v>
      </c>
      <c r="D110" s="107" t="s">
        <v>1215</v>
      </c>
      <c r="E110" s="107">
        <v>1515</v>
      </c>
      <c r="F110" s="107" t="s">
        <v>616</v>
      </c>
      <c r="G110" s="107"/>
      <c r="H110" s="107"/>
      <c r="I110" s="108" t="s">
        <v>219</v>
      </c>
      <c r="J110" s="109" t="s">
        <v>1097</v>
      </c>
      <c r="K110" s="107" t="s">
        <v>1215</v>
      </c>
      <c r="L110" s="86"/>
      <c r="M110" s="83" t="s">
        <v>220</v>
      </c>
      <c r="N110" s="83"/>
      <c r="O110" s="83"/>
      <c r="P110" s="87"/>
      <c r="Q110" s="83"/>
      <c r="R110" s="79" t="s">
        <v>664</v>
      </c>
      <c r="S110" s="79" t="s">
        <v>665</v>
      </c>
      <c r="T110" s="79" t="s">
        <v>666</v>
      </c>
    </row>
    <row r="111" spans="1:20" x14ac:dyDescent="0.2">
      <c r="A111" s="76" t="s">
        <v>215</v>
      </c>
      <c r="B111" s="84" t="s">
        <v>667</v>
      </c>
      <c r="C111" s="46" t="s">
        <v>668</v>
      </c>
      <c r="D111" s="51" t="s">
        <v>1098</v>
      </c>
      <c r="E111" s="51">
        <v>341</v>
      </c>
      <c r="F111" s="51" t="s">
        <v>669</v>
      </c>
      <c r="G111" s="51">
        <v>275417897</v>
      </c>
      <c r="H111" s="51">
        <v>275417897</v>
      </c>
      <c r="I111" s="79" t="s">
        <v>219</v>
      </c>
      <c r="J111" s="85" t="s">
        <v>1099</v>
      </c>
      <c r="K111" s="51" t="s">
        <v>1098</v>
      </c>
      <c r="L111" s="86"/>
      <c r="M111" s="83" t="s">
        <v>220</v>
      </c>
      <c r="N111" s="83"/>
      <c r="O111" s="83"/>
      <c r="P111" s="87"/>
      <c r="Q111" s="83"/>
      <c r="R111" s="79" t="s">
        <v>670</v>
      </c>
      <c r="S111" s="79" t="s">
        <v>671</v>
      </c>
      <c r="T111" s="79" t="s">
        <v>672</v>
      </c>
    </row>
    <row r="112" spans="1:20" x14ac:dyDescent="0.2">
      <c r="A112" s="76" t="s">
        <v>215</v>
      </c>
      <c r="B112" s="84" t="s">
        <v>673</v>
      </c>
      <c r="C112" s="46" t="s">
        <v>674</v>
      </c>
      <c r="D112" s="51" t="s">
        <v>1100</v>
      </c>
      <c r="E112" s="51">
        <v>243</v>
      </c>
      <c r="F112" s="51" t="s">
        <v>254</v>
      </c>
      <c r="G112" s="51"/>
      <c r="H112" s="51"/>
      <c r="I112" s="79" t="s">
        <v>219</v>
      </c>
      <c r="J112" s="85" t="s">
        <v>1101</v>
      </c>
      <c r="K112" s="51" t="s">
        <v>1100</v>
      </c>
      <c r="L112" s="86"/>
      <c r="M112" s="83" t="s">
        <v>220</v>
      </c>
      <c r="N112" s="83"/>
      <c r="O112" s="83"/>
      <c r="P112" s="87"/>
      <c r="Q112" s="83"/>
      <c r="R112" s="79" t="s">
        <v>675</v>
      </c>
      <c r="S112" s="79" t="s">
        <v>676</v>
      </c>
      <c r="T112" s="79" t="s">
        <v>677</v>
      </c>
    </row>
    <row r="113" spans="1:24" x14ac:dyDescent="0.2">
      <c r="A113" s="76" t="s">
        <v>215</v>
      </c>
      <c r="B113" s="97" t="s">
        <v>678</v>
      </c>
      <c r="C113" s="107" t="s">
        <v>679</v>
      </c>
      <c r="D113" s="107" t="s">
        <v>1216</v>
      </c>
      <c r="E113" s="107">
        <v>2130</v>
      </c>
      <c r="F113" s="107" t="s">
        <v>616</v>
      </c>
      <c r="G113" s="107"/>
      <c r="H113" s="107"/>
      <c r="I113" s="108" t="s">
        <v>219</v>
      </c>
      <c r="J113" s="112" t="s">
        <v>1102</v>
      </c>
      <c r="K113" s="107" t="s">
        <v>1216</v>
      </c>
      <c r="L113" s="84"/>
      <c r="M113" s="83" t="s">
        <v>220</v>
      </c>
      <c r="N113" s="83"/>
      <c r="O113" s="83"/>
      <c r="P113" s="87"/>
      <c r="Q113" s="83"/>
      <c r="R113" s="79" t="s">
        <v>680</v>
      </c>
      <c r="S113" s="79" t="s">
        <v>681</v>
      </c>
      <c r="T113" s="79" t="s">
        <v>682</v>
      </c>
    </row>
    <row r="114" spans="1:24" x14ac:dyDescent="0.2">
      <c r="A114" s="76" t="s">
        <v>215</v>
      </c>
      <c r="B114" s="84" t="s">
        <v>683</v>
      </c>
      <c r="C114" s="46" t="s">
        <v>684</v>
      </c>
      <c r="D114" s="51" t="s">
        <v>1103</v>
      </c>
      <c r="E114" s="51">
        <v>685</v>
      </c>
      <c r="F114" s="51" t="s">
        <v>275</v>
      </c>
      <c r="G114" s="51"/>
      <c r="H114" s="51"/>
      <c r="I114" s="79" t="s">
        <v>219</v>
      </c>
      <c r="J114" s="85" t="s">
        <v>1104</v>
      </c>
      <c r="K114" s="51" t="s">
        <v>1103</v>
      </c>
      <c r="L114" s="86"/>
      <c r="M114" s="83" t="s">
        <v>220</v>
      </c>
      <c r="N114" s="83"/>
      <c r="O114" s="83"/>
      <c r="P114" s="87"/>
      <c r="Q114" s="83"/>
      <c r="T114" s="79" t="s">
        <v>685</v>
      </c>
    </row>
    <row r="115" spans="1:24" x14ac:dyDescent="0.2">
      <c r="A115" s="76" t="s">
        <v>215</v>
      </c>
      <c r="B115" s="91" t="s">
        <v>686</v>
      </c>
      <c r="C115" s="46" t="s">
        <v>687</v>
      </c>
      <c r="D115" s="52" t="s">
        <v>1105</v>
      </c>
      <c r="G115" s="46" t="s">
        <v>688</v>
      </c>
      <c r="H115" s="46" t="s">
        <v>688</v>
      </c>
      <c r="I115" s="79" t="s">
        <v>219</v>
      </c>
      <c r="J115" s="87" t="s">
        <v>1106</v>
      </c>
      <c r="K115" s="52" t="s">
        <v>1105</v>
      </c>
      <c r="L115" s="88"/>
      <c r="M115" s="83" t="s">
        <v>220</v>
      </c>
      <c r="N115" s="83"/>
      <c r="O115" s="83"/>
      <c r="P115" s="87"/>
      <c r="Q115" s="83"/>
    </row>
    <row r="116" spans="1:24" x14ac:dyDescent="0.2">
      <c r="B116" s="79" t="s">
        <v>689</v>
      </c>
      <c r="C116" s="46" t="s">
        <v>690</v>
      </c>
      <c r="D116" s="52" t="s">
        <v>1187</v>
      </c>
      <c r="F116" s="52" t="s">
        <v>231</v>
      </c>
      <c r="G116" s="46" t="s">
        <v>691</v>
      </c>
      <c r="H116" s="46" t="s">
        <v>691</v>
      </c>
      <c r="I116" s="79" t="s">
        <v>211</v>
      </c>
      <c r="J116" s="82" t="s">
        <v>237</v>
      </c>
      <c r="K116" s="52" t="s">
        <v>1187</v>
      </c>
      <c r="M116" s="83" t="s">
        <v>212</v>
      </c>
      <c r="N116" s="83"/>
      <c r="O116" s="83"/>
      <c r="P116" s="87"/>
      <c r="Q116" s="83"/>
    </row>
    <row r="117" spans="1:24" x14ac:dyDescent="0.2">
      <c r="A117" s="76" t="s">
        <v>215</v>
      </c>
      <c r="B117" s="79" t="s">
        <v>692</v>
      </c>
      <c r="C117" s="46" t="s">
        <v>693</v>
      </c>
      <c r="D117" s="52" t="s">
        <v>1107</v>
      </c>
      <c r="F117" s="52" t="s">
        <v>694</v>
      </c>
      <c r="G117" s="46"/>
      <c r="H117" s="46"/>
      <c r="I117" s="79" t="s">
        <v>219</v>
      </c>
      <c r="J117" s="87" t="s">
        <v>1108</v>
      </c>
      <c r="K117" s="52" t="s">
        <v>1107</v>
      </c>
      <c r="M117" s="83" t="s">
        <v>220</v>
      </c>
      <c r="N117" s="83"/>
      <c r="O117" s="83"/>
      <c r="P117" s="87"/>
      <c r="Q117" s="83"/>
    </row>
    <row r="118" spans="1:24" x14ac:dyDescent="0.2">
      <c r="B118" s="79" t="s">
        <v>695</v>
      </c>
      <c r="C118" s="46" t="s">
        <v>696</v>
      </c>
      <c r="D118" s="52" t="s">
        <v>1188</v>
      </c>
      <c r="F118" s="52" t="s">
        <v>697</v>
      </c>
      <c r="G118" s="46" t="s">
        <v>698</v>
      </c>
      <c r="H118" s="46" t="s">
        <v>698</v>
      </c>
      <c r="I118" s="79" t="s">
        <v>211</v>
      </c>
      <c r="J118" s="82" t="s">
        <v>237</v>
      </c>
      <c r="K118" s="52" t="s">
        <v>1188</v>
      </c>
      <c r="M118" s="83" t="s">
        <v>212</v>
      </c>
      <c r="N118" s="83"/>
      <c r="O118" s="83"/>
      <c r="P118" s="87"/>
      <c r="Q118" s="83"/>
    </row>
    <row r="119" spans="1:24" x14ac:dyDescent="0.2">
      <c r="B119" s="79" t="s">
        <v>699</v>
      </c>
      <c r="C119" s="46" t="s">
        <v>700</v>
      </c>
      <c r="D119" s="52" t="s">
        <v>1189</v>
      </c>
      <c r="F119" s="52" t="s">
        <v>701</v>
      </c>
      <c r="G119" s="46" t="s">
        <v>702</v>
      </c>
      <c r="H119" s="46" t="s">
        <v>702</v>
      </c>
      <c r="I119" s="79" t="s">
        <v>211</v>
      </c>
      <c r="J119" s="82" t="s">
        <v>237</v>
      </c>
      <c r="K119" s="52" t="s">
        <v>1189</v>
      </c>
      <c r="M119" s="83" t="s">
        <v>212</v>
      </c>
      <c r="N119" s="83"/>
      <c r="O119" s="83"/>
      <c r="P119" s="87"/>
      <c r="Q119" s="83"/>
    </row>
    <row r="120" spans="1:24" x14ac:dyDescent="0.2">
      <c r="A120" s="76" t="s">
        <v>215</v>
      </c>
      <c r="B120" s="84" t="s">
        <v>703</v>
      </c>
      <c r="C120" s="46" t="s">
        <v>704</v>
      </c>
      <c r="D120" s="51" t="s">
        <v>1109</v>
      </c>
      <c r="E120" s="51">
        <v>290</v>
      </c>
      <c r="F120" s="51" t="s">
        <v>332</v>
      </c>
      <c r="G120" s="51"/>
      <c r="H120" s="51"/>
      <c r="I120" s="79" t="s">
        <v>219</v>
      </c>
      <c r="J120" s="85" t="s">
        <v>1110</v>
      </c>
      <c r="K120" s="51" t="s">
        <v>1109</v>
      </c>
      <c r="L120" s="86"/>
      <c r="M120" s="83" t="s">
        <v>220</v>
      </c>
      <c r="N120" s="83"/>
      <c r="O120" s="83"/>
      <c r="P120" s="87"/>
      <c r="Q120" s="83"/>
    </row>
    <row r="121" spans="1:24" x14ac:dyDescent="0.2">
      <c r="A121" s="76" t="s">
        <v>215</v>
      </c>
      <c r="B121" s="84" t="s">
        <v>705</v>
      </c>
      <c r="C121" s="46" t="s">
        <v>706</v>
      </c>
      <c r="D121" s="51" t="s">
        <v>1111</v>
      </c>
      <c r="E121" s="51">
        <v>326</v>
      </c>
      <c r="F121" s="51" t="s">
        <v>332</v>
      </c>
      <c r="G121" s="51"/>
      <c r="H121" s="51"/>
      <c r="I121" s="79" t="s">
        <v>219</v>
      </c>
      <c r="J121" s="85" t="s">
        <v>1112</v>
      </c>
      <c r="K121" s="51" t="s">
        <v>1111</v>
      </c>
      <c r="L121" s="86"/>
      <c r="M121" s="83" t="s">
        <v>220</v>
      </c>
      <c r="N121" s="83"/>
      <c r="O121" s="83"/>
      <c r="P121" s="87"/>
      <c r="Q121" s="83"/>
      <c r="R121" s="79" t="s">
        <v>707</v>
      </c>
      <c r="S121" s="79" t="s">
        <v>708</v>
      </c>
      <c r="T121" s="79" t="s">
        <v>709</v>
      </c>
      <c r="U121" s="79" t="s">
        <v>408</v>
      </c>
    </row>
    <row r="122" spans="1:24" x14ac:dyDescent="0.2">
      <c r="A122" s="76" t="s">
        <v>215</v>
      </c>
      <c r="B122" s="84" t="s">
        <v>710</v>
      </c>
      <c r="C122" s="107" t="s">
        <v>711</v>
      </c>
      <c r="D122" s="107" t="s">
        <v>1217</v>
      </c>
      <c r="E122" s="107">
        <v>337</v>
      </c>
      <c r="F122" s="107" t="s">
        <v>218</v>
      </c>
      <c r="G122" s="107">
        <v>466527314</v>
      </c>
      <c r="H122" s="107">
        <v>466527314</v>
      </c>
      <c r="I122" s="108" t="s">
        <v>219</v>
      </c>
      <c r="J122" s="109" t="s">
        <v>1113</v>
      </c>
      <c r="K122" s="107" t="s">
        <v>1217</v>
      </c>
      <c r="L122" s="86"/>
      <c r="M122" s="83" t="s">
        <v>220</v>
      </c>
      <c r="N122" s="83"/>
      <c r="O122" s="83"/>
      <c r="P122" s="87"/>
      <c r="Q122" s="83"/>
      <c r="R122" s="79" t="s">
        <v>712</v>
      </c>
      <c r="S122" s="79" t="s">
        <v>713</v>
      </c>
      <c r="T122" s="79" t="s">
        <v>714</v>
      </c>
    </row>
    <row r="123" spans="1:24" x14ac:dyDescent="0.2">
      <c r="A123" s="76" t="s">
        <v>215</v>
      </c>
      <c r="B123" s="97" t="s">
        <v>715</v>
      </c>
      <c r="C123" s="51">
        <v>2571</v>
      </c>
      <c r="D123" s="51" t="s">
        <v>1114</v>
      </c>
      <c r="E123" s="51"/>
      <c r="F123" s="51" t="s">
        <v>616</v>
      </c>
      <c r="G123" s="51"/>
      <c r="H123" s="51"/>
      <c r="I123" s="79" t="s">
        <v>219</v>
      </c>
      <c r="J123" s="95" t="s">
        <v>1102</v>
      </c>
      <c r="K123" s="51" t="s">
        <v>1114</v>
      </c>
      <c r="L123" s="84"/>
      <c r="M123" s="83" t="s">
        <v>220</v>
      </c>
      <c r="N123" s="83"/>
      <c r="O123" s="83"/>
      <c r="P123" s="87"/>
      <c r="Q123" s="83"/>
      <c r="R123" s="79" t="s">
        <v>716</v>
      </c>
      <c r="S123" s="79" t="s">
        <v>717</v>
      </c>
      <c r="T123" s="79" t="s">
        <v>718</v>
      </c>
    </row>
    <row r="124" spans="1:24" x14ac:dyDescent="0.2">
      <c r="A124" s="76" t="s">
        <v>215</v>
      </c>
      <c r="B124" s="84" t="s">
        <v>719</v>
      </c>
      <c r="C124" s="46" t="s">
        <v>720</v>
      </c>
      <c r="D124" s="51" t="s">
        <v>1115</v>
      </c>
      <c r="E124" s="51">
        <v>246</v>
      </c>
      <c r="F124" s="51" t="s">
        <v>275</v>
      </c>
      <c r="G124" s="51">
        <v>216197194</v>
      </c>
      <c r="H124" s="51">
        <v>216197194</v>
      </c>
      <c r="I124" s="79" t="s">
        <v>219</v>
      </c>
      <c r="J124" s="85" t="s">
        <v>1116</v>
      </c>
      <c r="K124" s="51" t="s">
        <v>1115</v>
      </c>
      <c r="L124" s="86"/>
      <c r="M124" s="83" t="s">
        <v>220</v>
      </c>
      <c r="N124" s="83"/>
      <c r="O124" s="83"/>
      <c r="P124" s="87"/>
      <c r="Q124" s="83"/>
      <c r="R124" s="79" t="s">
        <v>721</v>
      </c>
      <c r="S124" s="79" t="s">
        <v>722</v>
      </c>
      <c r="T124" s="79" t="s">
        <v>723</v>
      </c>
    </row>
    <row r="125" spans="1:24" x14ac:dyDescent="0.2">
      <c r="B125" s="79" t="s">
        <v>724</v>
      </c>
      <c r="C125" s="46" t="s">
        <v>725</v>
      </c>
      <c r="D125" s="52" t="s">
        <v>1190</v>
      </c>
      <c r="F125" s="52" t="s">
        <v>726</v>
      </c>
      <c r="G125" s="46" t="s">
        <v>727</v>
      </c>
      <c r="H125" s="46" t="s">
        <v>727</v>
      </c>
      <c r="I125" s="79" t="s">
        <v>211</v>
      </c>
      <c r="J125" s="82" t="s">
        <v>237</v>
      </c>
      <c r="K125" s="52" t="s">
        <v>1190</v>
      </c>
      <c r="M125" s="83" t="s">
        <v>212</v>
      </c>
      <c r="N125" s="83"/>
      <c r="O125" s="83"/>
      <c r="P125" s="87"/>
      <c r="Q125" s="83"/>
    </row>
    <row r="126" spans="1:24" x14ac:dyDescent="0.2">
      <c r="B126" s="79" t="s">
        <v>728</v>
      </c>
      <c r="C126" s="46" t="s">
        <v>729</v>
      </c>
      <c r="D126" s="52" t="s">
        <v>1191</v>
      </c>
      <c r="F126" s="52" t="s">
        <v>730</v>
      </c>
      <c r="G126" s="46" t="s">
        <v>731</v>
      </c>
      <c r="H126" s="46" t="s">
        <v>731</v>
      </c>
      <c r="I126" s="79" t="s">
        <v>211</v>
      </c>
      <c r="J126" s="82" t="s">
        <v>237</v>
      </c>
      <c r="K126" s="52" t="s">
        <v>1191</v>
      </c>
      <c r="M126" s="83" t="s">
        <v>212</v>
      </c>
      <c r="N126" s="83"/>
      <c r="O126" s="83"/>
      <c r="P126" s="87"/>
      <c r="Q126" s="83"/>
      <c r="R126" s="79" t="s">
        <v>732</v>
      </c>
      <c r="S126" s="79" t="s">
        <v>733</v>
      </c>
      <c r="V126" s="79" t="s">
        <v>734</v>
      </c>
      <c r="X126" s="79" t="s">
        <v>735</v>
      </c>
    </row>
    <row r="127" spans="1:24" x14ac:dyDescent="0.2">
      <c r="B127" s="79" t="s">
        <v>736</v>
      </c>
      <c r="C127" s="46" t="s">
        <v>737</v>
      </c>
      <c r="D127" s="52" t="s">
        <v>1192</v>
      </c>
      <c r="F127" s="52" t="s">
        <v>738</v>
      </c>
      <c r="G127" s="46" t="s">
        <v>739</v>
      </c>
      <c r="H127" s="46" t="s">
        <v>739</v>
      </c>
      <c r="I127" s="79" t="s">
        <v>211</v>
      </c>
      <c r="K127" s="52" t="s">
        <v>1192</v>
      </c>
      <c r="M127" s="83" t="s">
        <v>212</v>
      </c>
      <c r="N127" s="83"/>
      <c r="O127" s="83"/>
      <c r="P127" s="87"/>
      <c r="Q127" s="83"/>
    </row>
    <row r="128" spans="1:24" x14ac:dyDescent="0.2">
      <c r="A128" s="76" t="s">
        <v>215</v>
      </c>
      <c r="B128" s="84" t="s">
        <v>740</v>
      </c>
      <c r="C128" s="51" t="s">
        <v>741</v>
      </c>
      <c r="D128" s="51" t="s">
        <v>1117</v>
      </c>
      <c r="E128" s="51">
        <v>646</v>
      </c>
      <c r="F128" s="51" t="s">
        <v>332</v>
      </c>
      <c r="G128" s="51"/>
      <c r="H128" s="51"/>
      <c r="I128" s="79" t="s">
        <v>219</v>
      </c>
      <c r="J128" s="85" t="s">
        <v>1118</v>
      </c>
      <c r="K128" s="51" t="s">
        <v>1117</v>
      </c>
      <c r="L128" s="86"/>
      <c r="M128" s="83" t="s">
        <v>220</v>
      </c>
      <c r="N128" s="83"/>
      <c r="O128" s="83"/>
      <c r="P128" s="87"/>
      <c r="Q128" s="83"/>
      <c r="R128" s="79" t="s">
        <v>333</v>
      </c>
      <c r="S128" s="79" t="s">
        <v>334</v>
      </c>
      <c r="T128" s="79" t="s">
        <v>335</v>
      </c>
      <c r="U128" s="79" t="s">
        <v>336</v>
      </c>
    </row>
    <row r="129" spans="1:21" x14ac:dyDescent="0.2">
      <c r="B129" s="79" t="s">
        <v>742</v>
      </c>
      <c r="C129" s="46" t="s">
        <v>743</v>
      </c>
      <c r="D129" s="52" t="s">
        <v>1193</v>
      </c>
      <c r="F129" s="52" t="s">
        <v>744</v>
      </c>
      <c r="G129" s="46" t="s">
        <v>745</v>
      </c>
      <c r="H129" s="46" t="s">
        <v>745</v>
      </c>
      <c r="I129" s="79" t="s">
        <v>211</v>
      </c>
      <c r="J129" s="82" t="s">
        <v>237</v>
      </c>
      <c r="K129" s="52" t="s">
        <v>1193</v>
      </c>
      <c r="M129" s="83" t="s">
        <v>212</v>
      </c>
      <c r="N129" s="83"/>
      <c r="O129" s="83"/>
      <c r="P129" s="87"/>
      <c r="Q129" s="83"/>
    </row>
    <row r="130" spans="1:21" x14ac:dyDescent="0.2">
      <c r="A130" s="76" t="s">
        <v>215</v>
      </c>
      <c r="B130" s="84" t="s">
        <v>746</v>
      </c>
      <c r="C130" s="107" t="s">
        <v>747</v>
      </c>
      <c r="D130" s="107" t="s">
        <v>1218</v>
      </c>
      <c r="E130" s="107">
        <v>644</v>
      </c>
      <c r="F130" s="107" t="s">
        <v>218</v>
      </c>
      <c r="G130" s="107"/>
      <c r="H130" s="107"/>
      <c r="I130" s="108" t="s">
        <v>219</v>
      </c>
      <c r="J130" s="109" t="s">
        <v>1119</v>
      </c>
      <c r="K130" s="107" t="s">
        <v>1218</v>
      </c>
      <c r="L130" s="86"/>
      <c r="M130" s="83" t="s">
        <v>220</v>
      </c>
      <c r="N130" s="83"/>
      <c r="O130" s="83"/>
      <c r="P130" s="87"/>
      <c r="Q130" s="83"/>
      <c r="R130" s="79" t="s">
        <v>748</v>
      </c>
      <c r="S130" s="79" t="s">
        <v>749</v>
      </c>
      <c r="T130" s="79" t="s">
        <v>750</v>
      </c>
    </row>
    <row r="131" spans="1:21" x14ac:dyDescent="0.2">
      <c r="A131" s="76" t="s">
        <v>215</v>
      </c>
      <c r="B131" s="84" t="s">
        <v>751</v>
      </c>
      <c r="C131" s="51" t="s">
        <v>752</v>
      </c>
      <c r="D131" s="51" t="s">
        <v>1120</v>
      </c>
      <c r="E131" s="51">
        <v>2493</v>
      </c>
      <c r="F131" s="51" t="s">
        <v>218</v>
      </c>
      <c r="G131" s="51"/>
      <c r="H131" s="51"/>
      <c r="I131" s="79" t="s">
        <v>219</v>
      </c>
      <c r="J131" s="85" t="s">
        <v>1121</v>
      </c>
      <c r="K131" s="51" t="s">
        <v>1120</v>
      </c>
      <c r="L131" s="86"/>
      <c r="M131" s="83" t="s">
        <v>220</v>
      </c>
      <c r="N131" s="83"/>
      <c r="O131" s="83"/>
      <c r="P131" s="87"/>
      <c r="Q131" s="83"/>
      <c r="R131" s="79" t="s">
        <v>753</v>
      </c>
      <c r="S131" s="79" t="s">
        <v>754</v>
      </c>
      <c r="T131" s="79" t="s">
        <v>755</v>
      </c>
      <c r="U131" s="79" t="s">
        <v>756</v>
      </c>
    </row>
    <row r="132" spans="1:21" x14ac:dyDescent="0.2">
      <c r="A132" s="76" t="s">
        <v>215</v>
      </c>
      <c r="B132" s="84" t="s">
        <v>757</v>
      </c>
      <c r="C132" s="51">
        <v>2166</v>
      </c>
      <c r="D132" s="51" t="s">
        <v>1122</v>
      </c>
      <c r="E132" s="51"/>
      <c r="F132" s="51" t="s">
        <v>519</v>
      </c>
      <c r="G132" s="51"/>
      <c r="H132" s="51"/>
      <c r="I132" s="79" t="s">
        <v>219</v>
      </c>
      <c r="J132" s="85" t="s">
        <v>1123</v>
      </c>
      <c r="K132" s="51" t="s">
        <v>1122</v>
      </c>
      <c r="L132" s="86"/>
      <c r="M132" s="83" t="s">
        <v>220</v>
      </c>
      <c r="N132" s="83"/>
      <c r="O132" s="83"/>
      <c r="P132" s="87"/>
      <c r="Q132" s="83"/>
      <c r="R132" s="79" t="s">
        <v>758</v>
      </c>
      <c r="S132" s="79" t="s">
        <v>759</v>
      </c>
    </row>
    <row r="133" spans="1:21" x14ac:dyDescent="0.2">
      <c r="A133" s="76" t="s">
        <v>215</v>
      </c>
      <c r="B133" s="84" t="s">
        <v>760</v>
      </c>
      <c r="C133" s="107" t="s">
        <v>761</v>
      </c>
      <c r="D133" s="107" t="s">
        <v>1219</v>
      </c>
      <c r="E133" s="107">
        <v>875</v>
      </c>
      <c r="F133" s="107" t="s">
        <v>519</v>
      </c>
      <c r="G133" s="107"/>
      <c r="H133" s="107"/>
      <c r="I133" s="108" t="s">
        <v>219</v>
      </c>
      <c r="J133" s="109" t="s">
        <v>1124</v>
      </c>
      <c r="K133" s="107" t="s">
        <v>1219</v>
      </c>
      <c r="L133" s="86"/>
      <c r="M133" s="83" t="s">
        <v>220</v>
      </c>
      <c r="N133" s="83"/>
      <c r="O133" s="83"/>
      <c r="P133" s="87"/>
      <c r="Q133" s="83"/>
      <c r="R133" s="79" t="s">
        <v>758</v>
      </c>
      <c r="S133" s="79" t="s">
        <v>759</v>
      </c>
    </row>
    <row r="134" spans="1:21" x14ac:dyDescent="0.2">
      <c r="A134" s="76" t="s">
        <v>215</v>
      </c>
      <c r="B134" s="84" t="s">
        <v>762</v>
      </c>
      <c r="C134" s="51" t="s">
        <v>763</v>
      </c>
      <c r="D134" s="51" t="s">
        <v>1125</v>
      </c>
      <c r="E134" s="51">
        <v>1051</v>
      </c>
      <c r="F134" s="51" t="s">
        <v>248</v>
      </c>
      <c r="G134" s="51"/>
      <c r="H134" s="51"/>
      <c r="I134" s="79" t="s">
        <v>219</v>
      </c>
      <c r="J134" s="85" t="s">
        <v>1126</v>
      </c>
      <c r="K134" s="51" t="s">
        <v>1125</v>
      </c>
      <c r="L134" s="86"/>
      <c r="M134" s="83" t="s">
        <v>220</v>
      </c>
      <c r="N134" s="83"/>
      <c r="O134" s="83"/>
      <c r="P134" s="87"/>
      <c r="Q134" s="83"/>
      <c r="R134" s="79" t="s">
        <v>764</v>
      </c>
      <c r="S134" s="79" t="s">
        <v>765</v>
      </c>
      <c r="T134" s="79" t="s">
        <v>766</v>
      </c>
    </row>
  </sheetData>
  <sheetProtection sort="0" autoFilter="0"/>
  <sortState xmlns:xlrd2="http://schemas.microsoft.com/office/spreadsheetml/2017/richdata2" ref="A2:X134">
    <sortCondition ref="B2:B134"/>
  </sortState>
  <conditionalFormatting sqref="B71">
    <cfRule type="duplicateValues" dxfId="5" priority="1"/>
  </conditionalFormatting>
  <conditionalFormatting sqref="B97">
    <cfRule type="duplicateValues" dxfId="4" priority="5"/>
  </conditionalFormatting>
  <conditionalFormatting sqref="B127">
    <cfRule type="duplicateValues" dxfId="3" priority="3"/>
  </conditionalFormatting>
  <conditionalFormatting sqref="B129">
    <cfRule type="duplicateValues" dxfId="2" priority="6"/>
  </conditionalFormatting>
  <conditionalFormatting sqref="B131:B132">
    <cfRule type="duplicateValues" dxfId="1" priority="62"/>
  </conditionalFormatting>
  <conditionalFormatting sqref="B135:B1048576 B130 B1:B49 B98:B126 B128 B87:B96 B72:B85 B51:B70">
    <cfRule type="duplicateValues" dxfId="0" priority="9"/>
  </conditionalFormatting>
  <hyperlinks>
    <hyperlink ref="O45" r:id="rId1" display="mailto:andrei.1.bonce@adient.com" xr:uid="{401FE99E-0DD4-4C32-8290-C3EDCF853310}"/>
  </hyperlinks>
  <pageMargins left="0.7" right="0.7" top="0.75" bottom="0.75" header="0.3" footer="0.3"/>
  <pageSetup orientation="portrait" r:id="rId2"/>
  <headerFooter>
    <oddFooter>&amp;C&amp;1#&amp;"Calibri"&amp;10&amp;K000000Adient –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C1:F222"/>
  <sheetViews>
    <sheetView workbookViewId="0">
      <selection activeCell="F15" sqref="F15"/>
    </sheetView>
  </sheetViews>
  <sheetFormatPr defaultRowHeight="15" x14ac:dyDescent="0.25"/>
  <cols>
    <col min="1" max="1" width="4.85546875" customWidth="1"/>
    <col min="2" max="2" width="3.42578125" customWidth="1"/>
    <col min="3" max="3" width="23.85546875" customWidth="1"/>
    <col min="4" max="4" width="12.5703125" customWidth="1"/>
    <col min="5" max="5" width="10.140625" customWidth="1"/>
    <col min="6" max="6" width="45" customWidth="1"/>
  </cols>
  <sheetData>
    <row r="1" spans="3:6" ht="22.35" customHeight="1" x14ac:dyDescent="0.25">
      <c r="C1" s="32" t="s">
        <v>767</v>
      </c>
      <c r="D1" s="32" t="s">
        <v>768</v>
      </c>
      <c r="E1" s="32" t="s">
        <v>769</v>
      </c>
      <c r="F1" s="32" t="s">
        <v>770</v>
      </c>
    </row>
    <row r="2" spans="3:6" ht="25.5" x14ac:dyDescent="0.25">
      <c r="C2" t="s">
        <v>771</v>
      </c>
      <c r="D2" s="51" t="s">
        <v>772</v>
      </c>
      <c r="F2" t="s">
        <v>773</v>
      </c>
    </row>
    <row r="3" spans="3:6" ht="25.5" x14ac:dyDescent="0.25">
      <c r="C3" t="s">
        <v>774</v>
      </c>
      <c r="D3" s="51" t="s">
        <v>775</v>
      </c>
      <c r="F3" t="s">
        <v>776</v>
      </c>
    </row>
    <row r="4" spans="3:6" ht="25.5" x14ac:dyDescent="0.25">
      <c r="C4" t="s">
        <v>777</v>
      </c>
      <c r="D4" s="51" t="s">
        <v>778</v>
      </c>
      <c r="F4" t="s">
        <v>779</v>
      </c>
    </row>
    <row r="5" spans="3:6" x14ac:dyDescent="0.25">
      <c r="C5" t="s">
        <v>780</v>
      </c>
      <c r="D5" s="52" t="s">
        <v>781</v>
      </c>
      <c r="F5" t="s">
        <v>782</v>
      </c>
    </row>
    <row r="6" spans="3:6" ht="25.5" x14ac:dyDescent="0.25">
      <c r="C6" t="s">
        <v>783</v>
      </c>
      <c r="D6" s="51" t="s">
        <v>784</v>
      </c>
      <c r="F6" t="s">
        <v>785</v>
      </c>
    </row>
    <row r="7" spans="3:6" x14ac:dyDescent="0.25">
      <c r="C7" t="s">
        <v>786</v>
      </c>
      <c r="D7" s="52" t="s">
        <v>787</v>
      </c>
      <c r="F7" t="s">
        <v>788</v>
      </c>
    </row>
    <row r="8" spans="3:6" x14ac:dyDescent="0.25">
      <c r="C8" t="s">
        <v>789</v>
      </c>
      <c r="D8" s="52" t="s">
        <v>790</v>
      </c>
    </row>
    <row r="9" spans="3:6" x14ac:dyDescent="0.25">
      <c r="C9" t="s">
        <v>791</v>
      </c>
      <c r="D9" s="52" t="s">
        <v>792</v>
      </c>
    </row>
    <row r="10" spans="3:6" x14ac:dyDescent="0.25">
      <c r="C10" t="s">
        <v>789</v>
      </c>
      <c r="D10" s="52" t="s">
        <v>793</v>
      </c>
    </row>
    <row r="11" spans="3:6" ht="25.5" x14ac:dyDescent="0.25">
      <c r="C11" t="s">
        <v>794</v>
      </c>
      <c r="D11" s="51" t="s">
        <v>795</v>
      </c>
    </row>
    <row r="12" spans="3:6" ht="25.5" x14ac:dyDescent="0.25">
      <c r="C12" t="s">
        <v>796</v>
      </c>
      <c r="D12" s="51" t="s">
        <v>797</v>
      </c>
    </row>
    <row r="13" spans="3:6" x14ac:dyDescent="0.25">
      <c r="C13" t="s">
        <v>798</v>
      </c>
      <c r="D13" s="52" t="s">
        <v>799</v>
      </c>
    </row>
    <row r="14" spans="3:6" ht="25.5" x14ac:dyDescent="0.25">
      <c r="C14" t="s">
        <v>800</v>
      </c>
      <c r="D14" s="51" t="s">
        <v>801</v>
      </c>
    </row>
    <row r="15" spans="3:6" x14ac:dyDescent="0.25">
      <c r="C15" t="s">
        <v>802</v>
      </c>
      <c r="D15" s="52" t="s">
        <v>803</v>
      </c>
    </row>
    <row r="16" spans="3:6" x14ac:dyDescent="0.25">
      <c r="D16" s="52" t="s">
        <v>804</v>
      </c>
    </row>
    <row r="17" spans="4:4" x14ac:dyDescent="0.25">
      <c r="D17" s="52" t="s">
        <v>804</v>
      </c>
    </row>
    <row r="18" spans="4:4" x14ac:dyDescent="0.25">
      <c r="D18" s="52" t="s">
        <v>804</v>
      </c>
    </row>
    <row r="19" spans="4:4" x14ac:dyDescent="0.25">
      <c r="D19" s="52" t="s">
        <v>805</v>
      </c>
    </row>
    <row r="20" spans="4:4" x14ac:dyDescent="0.25">
      <c r="D20" s="52" t="s">
        <v>806</v>
      </c>
    </row>
    <row r="21" spans="4:4" ht="25.5" x14ac:dyDescent="0.25">
      <c r="D21" s="51" t="s">
        <v>807</v>
      </c>
    </row>
    <row r="22" spans="4:4" ht="25.5" x14ac:dyDescent="0.25">
      <c r="D22" s="51" t="s">
        <v>808</v>
      </c>
    </row>
    <row r="23" spans="4:4" ht="25.5" x14ac:dyDescent="0.25">
      <c r="D23" s="51" t="s">
        <v>809</v>
      </c>
    </row>
    <row r="24" spans="4:4" ht="25.5" x14ac:dyDescent="0.25">
      <c r="D24" s="51" t="s">
        <v>810</v>
      </c>
    </row>
    <row r="25" spans="4:4" x14ac:dyDescent="0.25">
      <c r="D25" s="52" t="s">
        <v>811</v>
      </c>
    </row>
    <row r="26" spans="4:4" ht="25.5" x14ac:dyDescent="0.25">
      <c r="D26" s="51" t="s">
        <v>812</v>
      </c>
    </row>
    <row r="27" spans="4:4" ht="25.5" x14ac:dyDescent="0.25">
      <c r="D27" s="51" t="s">
        <v>813</v>
      </c>
    </row>
    <row r="28" spans="4:4" x14ac:dyDescent="0.25">
      <c r="D28" s="52" t="s">
        <v>814</v>
      </c>
    </row>
    <row r="29" spans="4:4" x14ac:dyDescent="0.25">
      <c r="D29" s="52" t="s">
        <v>814</v>
      </c>
    </row>
    <row r="30" spans="4:4" x14ac:dyDescent="0.25">
      <c r="D30" s="52" t="s">
        <v>815</v>
      </c>
    </row>
    <row r="31" spans="4:4" x14ac:dyDescent="0.25">
      <c r="D31" s="52" t="s">
        <v>816</v>
      </c>
    </row>
    <row r="32" spans="4:4" x14ac:dyDescent="0.25">
      <c r="D32" s="52" t="s">
        <v>817</v>
      </c>
    </row>
    <row r="33" spans="4:4" ht="25.5" x14ac:dyDescent="0.25">
      <c r="D33" s="51" t="s">
        <v>818</v>
      </c>
    </row>
    <row r="34" spans="4:4" x14ac:dyDescent="0.25">
      <c r="D34" s="52" t="s">
        <v>819</v>
      </c>
    </row>
    <row r="35" spans="4:4" x14ac:dyDescent="0.25">
      <c r="D35" s="46" t="s">
        <v>820</v>
      </c>
    </row>
    <row r="36" spans="4:4" x14ac:dyDescent="0.25">
      <c r="D36" s="52" t="s">
        <v>821</v>
      </c>
    </row>
    <row r="37" spans="4:4" x14ac:dyDescent="0.25">
      <c r="D37" s="46" t="s">
        <v>822</v>
      </c>
    </row>
    <row r="38" spans="4:4" x14ac:dyDescent="0.25">
      <c r="D38" s="52" t="s">
        <v>823</v>
      </c>
    </row>
    <row r="39" spans="4:4" x14ac:dyDescent="0.25">
      <c r="D39" s="46" t="s">
        <v>824</v>
      </c>
    </row>
    <row r="40" spans="4:4" x14ac:dyDescent="0.25">
      <c r="D40" s="52" t="s">
        <v>825</v>
      </c>
    </row>
    <row r="41" spans="4:4" ht="25.5" x14ac:dyDescent="0.25">
      <c r="D41" s="51" t="s">
        <v>826</v>
      </c>
    </row>
    <row r="42" spans="4:4" ht="25.5" x14ac:dyDescent="0.25">
      <c r="D42" s="51" t="s">
        <v>827</v>
      </c>
    </row>
    <row r="43" spans="4:4" x14ac:dyDescent="0.25">
      <c r="D43" s="52" t="s">
        <v>828</v>
      </c>
    </row>
    <row r="44" spans="4:4" x14ac:dyDescent="0.25">
      <c r="D44" s="52" t="s">
        <v>829</v>
      </c>
    </row>
    <row r="45" spans="4:4" x14ac:dyDescent="0.25">
      <c r="D45" s="52" t="s">
        <v>830</v>
      </c>
    </row>
    <row r="46" spans="4:4" x14ac:dyDescent="0.25">
      <c r="D46" s="52" t="s">
        <v>831</v>
      </c>
    </row>
    <row r="47" spans="4:4" x14ac:dyDescent="0.25">
      <c r="D47" s="52" t="s">
        <v>832</v>
      </c>
    </row>
    <row r="48" spans="4:4" ht="25.5" x14ac:dyDescent="0.25">
      <c r="D48" s="51" t="s">
        <v>833</v>
      </c>
    </row>
    <row r="49" spans="4:4" x14ac:dyDescent="0.25">
      <c r="D49" s="52" t="s">
        <v>834</v>
      </c>
    </row>
    <row r="50" spans="4:4" ht="25.5" x14ac:dyDescent="0.25">
      <c r="D50" s="51" t="s">
        <v>835</v>
      </c>
    </row>
    <row r="51" spans="4:4" ht="25.5" x14ac:dyDescent="0.25">
      <c r="D51" s="51" t="s">
        <v>836</v>
      </c>
    </row>
    <row r="52" spans="4:4" ht="25.5" x14ac:dyDescent="0.25">
      <c r="D52" s="51" t="s">
        <v>837</v>
      </c>
    </row>
    <row r="53" spans="4:4" x14ac:dyDescent="0.25">
      <c r="D53" s="52" t="s">
        <v>838</v>
      </c>
    </row>
    <row r="54" spans="4:4" x14ac:dyDescent="0.25">
      <c r="D54" s="52" t="s">
        <v>839</v>
      </c>
    </row>
    <row r="55" spans="4:4" ht="25.5" x14ac:dyDescent="0.25">
      <c r="D55" s="51" t="s">
        <v>840</v>
      </c>
    </row>
    <row r="56" spans="4:4" ht="25.5" x14ac:dyDescent="0.25">
      <c r="D56" s="51" t="s">
        <v>841</v>
      </c>
    </row>
    <row r="57" spans="4:4" x14ac:dyDescent="0.25">
      <c r="D57" s="52" t="s">
        <v>842</v>
      </c>
    </row>
    <row r="58" spans="4:4" ht="25.5" x14ac:dyDescent="0.25">
      <c r="D58" s="51" t="s">
        <v>843</v>
      </c>
    </row>
    <row r="59" spans="4:4" x14ac:dyDescent="0.25">
      <c r="D59" s="46" t="s">
        <v>844</v>
      </c>
    </row>
    <row r="60" spans="4:4" x14ac:dyDescent="0.25">
      <c r="D60" s="52" t="s">
        <v>845</v>
      </c>
    </row>
    <row r="61" spans="4:4" x14ac:dyDescent="0.25">
      <c r="D61" s="52" t="s">
        <v>846</v>
      </c>
    </row>
    <row r="62" spans="4:4" ht="25.5" x14ac:dyDescent="0.25">
      <c r="D62" s="51" t="s">
        <v>847</v>
      </c>
    </row>
    <row r="63" spans="4:4" ht="25.5" x14ac:dyDescent="0.25">
      <c r="D63" s="51" t="s">
        <v>848</v>
      </c>
    </row>
    <row r="64" spans="4:4" x14ac:dyDescent="0.25">
      <c r="D64" s="52" t="s">
        <v>849</v>
      </c>
    </row>
    <row r="65" spans="4:4" ht="25.5" x14ac:dyDescent="0.25">
      <c r="D65" s="51" t="s">
        <v>850</v>
      </c>
    </row>
    <row r="66" spans="4:4" ht="25.5" x14ac:dyDescent="0.25">
      <c r="D66" s="51" t="s">
        <v>851</v>
      </c>
    </row>
    <row r="67" spans="4:4" ht="25.5" x14ac:dyDescent="0.25">
      <c r="D67" s="51" t="s">
        <v>852</v>
      </c>
    </row>
    <row r="68" spans="4:4" x14ac:dyDescent="0.25">
      <c r="D68" s="52" t="s">
        <v>853</v>
      </c>
    </row>
    <row r="69" spans="4:4" ht="25.5" x14ac:dyDescent="0.25">
      <c r="D69" s="51" t="s">
        <v>854</v>
      </c>
    </row>
    <row r="70" spans="4:4" x14ac:dyDescent="0.25">
      <c r="D70" s="52" t="s">
        <v>855</v>
      </c>
    </row>
    <row r="71" spans="4:4" x14ac:dyDescent="0.25">
      <c r="D71" s="52" t="s">
        <v>856</v>
      </c>
    </row>
    <row r="72" spans="4:4" ht="25.5" x14ac:dyDescent="0.25">
      <c r="D72" s="51" t="s">
        <v>857</v>
      </c>
    </row>
    <row r="73" spans="4:4" x14ac:dyDescent="0.25">
      <c r="D73" s="52" t="s">
        <v>858</v>
      </c>
    </row>
    <row r="74" spans="4:4" ht="25.5" x14ac:dyDescent="0.25">
      <c r="D74" s="51" t="s">
        <v>859</v>
      </c>
    </row>
    <row r="75" spans="4:4" ht="25.5" x14ac:dyDescent="0.25">
      <c r="D75" s="51" t="s">
        <v>860</v>
      </c>
    </row>
    <row r="76" spans="4:4" ht="25.5" x14ac:dyDescent="0.25">
      <c r="D76" s="51" t="s">
        <v>861</v>
      </c>
    </row>
    <row r="77" spans="4:4" ht="25.5" x14ac:dyDescent="0.25">
      <c r="D77" s="51" t="s">
        <v>862</v>
      </c>
    </row>
    <row r="78" spans="4:4" x14ac:dyDescent="0.25">
      <c r="D78" s="52" t="s">
        <v>863</v>
      </c>
    </row>
    <row r="79" spans="4:4" ht="25.5" x14ac:dyDescent="0.25">
      <c r="D79" s="51" t="s">
        <v>864</v>
      </c>
    </row>
    <row r="80" spans="4:4" ht="25.5" x14ac:dyDescent="0.25">
      <c r="D80" s="51" t="s">
        <v>865</v>
      </c>
    </row>
    <row r="81" spans="4:4" ht="25.5" x14ac:dyDescent="0.25">
      <c r="D81" s="51" t="s">
        <v>866</v>
      </c>
    </row>
    <row r="82" spans="4:4" ht="25.5" x14ac:dyDescent="0.25">
      <c r="D82" s="51" t="s">
        <v>867</v>
      </c>
    </row>
    <row r="83" spans="4:4" ht="25.5" x14ac:dyDescent="0.25">
      <c r="D83" s="51" t="s">
        <v>868</v>
      </c>
    </row>
    <row r="84" spans="4:4" ht="25.5" x14ac:dyDescent="0.25">
      <c r="D84" s="51" t="s">
        <v>869</v>
      </c>
    </row>
    <row r="85" spans="4:4" ht="25.5" x14ac:dyDescent="0.25">
      <c r="D85" s="51" t="s">
        <v>870</v>
      </c>
    </row>
    <row r="86" spans="4:4" ht="25.5" x14ac:dyDescent="0.25">
      <c r="D86" s="51" t="s">
        <v>871</v>
      </c>
    </row>
    <row r="87" spans="4:4" ht="25.5" x14ac:dyDescent="0.25">
      <c r="D87" s="51" t="s">
        <v>872</v>
      </c>
    </row>
    <row r="88" spans="4:4" x14ac:dyDescent="0.25">
      <c r="D88" s="52" t="s">
        <v>873</v>
      </c>
    </row>
    <row r="89" spans="4:4" ht="25.5" x14ac:dyDescent="0.25">
      <c r="D89" s="51" t="s">
        <v>874</v>
      </c>
    </row>
    <row r="90" spans="4:4" x14ac:dyDescent="0.25">
      <c r="D90" s="52" t="s">
        <v>875</v>
      </c>
    </row>
    <row r="91" spans="4:4" ht="25.5" x14ac:dyDescent="0.25">
      <c r="D91" s="51" t="s">
        <v>876</v>
      </c>
    </row>
    <row r="92" spans="4:4" ht="25.5" x14ac:dyDescent="0.25">
      <c r="D92" s="51" t="s">
        <v>877</v>
      </c>
    </row>
    <row r="93" spans="4:4" x14ac:dyDescent="0.25">
      <c r="D93" s="52" t="s">
        <v>878</v>
      </c>
    </row>
    <row r="94" spans="4:4" x14ac:dyDescent="0.25">
      <c r="D94" s="52" t="s">
        <v>879</v>
      </c>
    </row>
    <row r="95" spans="4:4" x14ac:dyDescent="0.25">
      <c r="D95" s="52" t="s">
        <v>880</v>
      </c>
    </row>
    <row r="96" spans="4:4" x14ac:dyDescent="0.25">
      <c r="D96" s="52" t="s">
        <v>881</v>
      </c>
    </row>
    <row r="97" spans="4:4" ht="25.5" x14ac:dyDescent="0.25">
      <c r="D97" s="51" t="s">
        <v>882</v>
      </c>
    </row>
    <row r="98" spans="4:4" x14ac:dyDescent="0.25">
      <c r="D98" s="52" t="s">
        <v>883</v>
      </c>
    </row>
    <row r="99" spans="4:4" x14ac:dyDescent="0.25">
      <c r="D99" s="52" t="s">
        <v>884</v>
      </c>
    </row>
    <row r="100" spans="4:4" x14ac:dyDescent="0.25">
      <c r="D100" s="52" t="s">
        <v>885</v>
      </c>
    </row>
    <row r="101" spans="4:4" ht="25.5" x14ac:dyDescent="0.25">
      <c r="D101" s="51" t="s">
        <v>886</v>
      </c>
    </row>
    <row r="102" spans="4:4" ht="25.5" x14ac:dyDescent="0.25">
      <c r="D102" s="51" t="s">
        <v>887</v>
      </c>
    </row>
    <row r="103" spans="4:4" x14ac:dyDescent="0.25">
      <c r="D103" s="52" t="s">
        <v>888</v>
      </c>
    </row>
    <row r="104" spans="4:4" ht="25.5" x14ac:dyDescent="0.25">
      <c r="D104" s="51" t="s">
        <v>889</v>
      </c>
    </row>
    <row r="105" spans="4:4" ht="25.5" x14ac:dyDescent="0.25">
      <c r="D105" s="51" t="s">
        <v>890</v>
      </c>
    </row>
    <row r="106" spans="4:4" ht="25.5" x14ac:dyDescent="0.25">
      <c r="D106" s="51" t="s">
        <v>891</v>
      </c>
    </row>
    <row r="107" spans="4:4" ht="25.5" x14ac:dyDescent="0.25">
      <c r="D107" s="51" t="s">
        <v>892</v>
      </c>
    </row>
    <row r="108" spans="4:4" x14ac:dyDescent="0.25">
      <c r="D108" s="46" t="s">
        <v>893</v>
      </c>
    </row>
    <row r="109" spans="4:4" x14ac:dyDescent="0.25">
      <c r="D109" s="52" t="s">
        <v>894</v>
      </c>
    </row>
    <row r="110" spans="4:4" ht="25.5" x14ac:dyDescent="0.25">
      <c r="D110" s="51" t="s">
        <v>880</v>
      </c>
    </row>
    <row r="111" spans="4:4" ht="25.5" x14ac:dyDescent="0.25">
      <c r="D111" s="51" t="s">
        <v>895</v>
      </c>
    </row>
    <row r="112" spans="4:4" ht="25.5" x14ac:dyDescent="0.25">
      <c r="D112" s="51" t="s">
        <v>896</v>
      </c>
    </row>
    <row r="113" spans="4:4" ht="25.5" x14ac:dyDescent="0.25">
      <c r="D113" s="51" t="s">
        <v>897</v>
      </c>
    </row>
    <row r="114" spans="4:4" ht="25.5" x14ac:dyDescent="0.25">
      <c r="D114" s="51" t="s">
        <v>898</v>
      </c>
    </row>
    <row r="115" spans="4:4" x14ac:dyDescent="0.25">
      <c r="D115" s="52" t="s">
        <v>899</v>
      </c>
    </row>
    <row r="116" spans="4:4" x14ac:dyDescent="0.25">
      <c r="D116" s="52" t="s">
        <v>900</v>
      </c>
    </row>
    <row r="117" spans="4:4" x14ac:dyDescent="0.25">
      <c r="D117" s="46" t="s">
        <v>901</v>
      </c>
    </row>
    <row r="118" spans="4:4" x14ac:dyDescent="0.25">
      <c r="D118" s="46" t="s">
        <v>902</v>
      </c>
    </row>
    <row r="119" spans="4:4" ht="25.5" x14ac:dyDescent="0.25">
      <c r="D119" s="51" t="s">
        <v>903</v>
      </c>
    </row>
    <row r="120" spans="4:4" ht="25.5" x14ac:dyDescent="0.25">
      <c r="D120" s="51" t="s">
        <v>904</v>
      </c>
    </row>
    <row r="121" spans="4:4" ht="25.5" x14ac:dyDescent="0.25">
      <c r="D121" s="51" t="s">
        <v>905</v>
      </c>
    </row>
    <row r="122" spans="4:4" x14ac:dyDescent="0.25">
      <c r="D122" s="52" t="s">
        <v>906</v>
      </c>
    </row>
    <row r="123" spans="4:4" x14ac:dyDescent="0.25">
      <c r="D123" s="52" t="s">
        <v>907</v>
      </c>
    </row>
    <row r="124" spans="4:4" x14ac:dyDescent="0.25">
      <c r="D124" s="52" t="s">
        <v>908</v>
      </c>
    </row>
    <row r="125" spans="4:4" x14ac:dyDescent="0.25">
      <c r="D125" s="52" t="s">
        <v>909</v>
      </c>
    </row>
    <row r="126" spans="4:4" x14ac:dyDescent="0.25">
      <c r="D126" s="52" t="s">
        <v>910</v>
      </c>
    </row>
    <row r="127" spans="4:4" ht="25.5" x14ac:dyDescent="0.25">
      <c r="D127" s="51" t="s">
        <v>911</v>
      </c>
    </row>
    <row r="128" spans="4:4" ht="25.5" x14ac:dyDescent="0.25">
      <c r="D128" s="51" t="s">
        <v>911</v>
      </c>
    </row>
    <row r="129" spans="4:4" x14ac:dyDescent="0.25">
      <c r="D129" s="52" t="s">
        <v>912</v>
      </c>
    </row>
    <row r="130" spans="4:4" ht="25.5" x14ac:dyDescent="0.25">
      <c r="D130" s="51" t="s">
        <v>913</v>
      </c>
    </row>
    <row r="131" spans="4:4" ht="25.5" x14ac:dyDescent="0.25">
      <c r="D131" s="51" t="s">
        <v>914</v>
      </c>
    </row>
    <row r="132" spans="4:4" ht="25.5" x14ac:dyDescent="0.25">
      <c r="D132" s="51" t="s">
        <v>915</v>
      </c>
    </row>
    <row r="133" spans="4:4" x14ac:dyDescent="0.25">
      <c r="D133" s="52" t="s">
        <v>916</v>
      </c>
    </row>
    <row r="134" spans="4:4" x14ac:dyDescent="0.25">
      <c r="D134" s="52" t="s">
        <v>917</v>
      </c>
    </row>
    <row r="135" spans="4:4" x14ac:dyDescent="0.25">
      <c r="D135" s="52" t="s">
        <v>918</v>
      </c>
    </row>
    <row r="136" spans="4:4" ht="25.5" x14ac:dyDescent="0.25">
      <c r="D136" s="51" t="s">
        <v>919</v>
      </c>
    </row>
    <row r="137" spans="4:4" ht="25.5" x14ac:dyDescent="0.25">
      <c r="D137" s="51" t="s">
        <v>920</v>
      </c>
    </row>
    <row r="138" spans="4:4" ht="25.5" x14ac:dyDescent="0.25">
      <c r="D138" s="51" t="s">
        <v>921</v>
      </c>
    </row>
    <row r="139" spans="4:4" x14ac:dyDescent="0.25">
      <c r="D139" s="52" t="s">
        <v>922</v>
      </c>
    </row>
    <row r="140" spans="4:4" x14ac:dyDescent="0.25">
      <c r="D140" s="52" t="s">
        <v>923</v>
      </c>
    </row>
    <row r="141" spans="4:4" x14ac:dyDescent="0.25">
      <c r="D141" s="52" t="s">
        <v>924</v>
      </c>
    </row>
    <row r="142" spans="4:4" x14ac:dyDescent="0.25">
      <c r="D142" s="52" t="s">
        <v>925</v>
      </c>
    </row>
    <row r="143" spans="4:4" x14ac:dyDescent="0.25">
      <c r="D143" s="52" t="s">
        <v>926</v>
      </c>
    </row>
    <row r="144" spans="4:4" x14ac:dyDescent="0.25">
      <c r="D144" s="52" t="s">
        <v>927</v>
      </c>
    </row>
    <row r="145" spans="4:4" x14ac:dyDescent="0.25">
      <c r="D145" s="46" t="s">
        <v>928</v>
      </c>
    </row>
    <row r="146" spans="4:4" x14ac:dyDescent="0.25">
      <c r="D146" s="52" t="s">
        <v>929</v>
      </c>
    </row>
    <row r="147" spans="4:4" x14ac:dyDescent="0.25">
      <c r="D147" s="46" t="s">
        <v>930</v>
      </c>
    </row>
    <row r="148" spans="4:4" x14ac:dyDescent="0.25">
      <c r="D148" s="46" t="s">
        <v>931</v>
      </c>
    </row>
    <row r="149" spans="4:4" x14ac:dyDescent="0.25">
      <c r="D149" s="52" t="s">
        <v>932</v>
      </c>
    </row>
    <row r="150" spans="4:4" x14ac:dyDescent="0.25">
      <c r="D150" s="46" t="s">
        <v>933</v>
      </c>
    </row>
    <row r="151" spans="4:4" x14ac:dyDescent="0.25">
      <c r="D151" s="52" t="s">
        <v>934</v>
      </c>
    </row>
    <row r="152" spans="4:4" ht="25.5" x14ac:dyDescent="0.25">
      <c r="D152" s="51" t="s">
        <v>935</v>
      </c>
    </row>
    <row r="153" spans="4:4" x14ac:dyDescent="0.25">
      <c r="D153" s="52" t="s">
        <v>936</v>
      </c>
    </row>
    <row r="154" spans="4:4" x14ac:dyDescent="0.25">
      <c r="D154" s="52" t="s">
        <v>937</v>
      </c>
    </row>
    <row r="155" spans="4:4" ht="25.5" x14ac:dyDescent="0.25">
      <c r="D155" s="51" t="s">
        <v>938</v>
      </c>
    </row>
    <row r="156" spans="4:4" x14ac:dyDescent="0.25">
      <c r="D156" s="52" t="s">
        <v>939</v>
      </c>
    </row>
    <row r="157" spans="4:4" ht="25.5" x14ac:dyDescent="0.25">
      <c r="D157" s="51" t="s">
        <v>940</v>
      </c>
    </row>
    <row r="158" spans="4:4" x14ac:dyDescent="0.25">
      <c r="D158" s="52" t="s">
        <v>941</v>
      </c>
    </row>
    <row r="159" spans="4:4" x14ac:dyDescent="0.25">
      <c r="D159" s="52" t="s">
        <v>942</v>
      </c>
    </row>
    <row r="160" spans="4:4" ht="25.5" x14ac:dyDescent="0.25">
      <c r="D160" s="51" t="s">
        <v>943</v>
      </c>
    </row>
    <row r="161" spans="4:4" ht="25.5" x14ac:dyDescent="0.25">
      <c r="D161" s="51" t="s">
        <v>944</v>
      </c>
    </row>
    <row r="162" spans="4:4" ht="25.5" x14ac:dyDescent="0.25">
      <c r="D162" s="51" t="s">
        <v>945</v>
      </c>
    </row>
    <row r="163" spans="4:4" ht="25.5" x14ac:dyDescent="0.25">
      <c r="D163" s="51" t="s">
        <v>946</v>
      </c>
    </row>
    <row r="164" spans="4:4" ht="25.5" x14ac:dyDescent="0.25">
      <c r="D164" s="51" t="s">
        <v>947</v>
      </c>
    </row>
    <row r="165" spans="4:4" ht="25.5" x14ac:dyDescent="0.25">
      <c r="D165" s="51" t="s">
        <v>948</v>
      </c>
    </row>
    <row r="166" spans="4:4" ht="25.5" x14ac:dyDescent="0.25">
      <c r="D166" s="51" t="s">
        <v>949</v>
      </c>
    </row>
    <row r="167" spans="4:4" x14ac:dyDescent="0.25">
      <c r="D167" s="52" t="s">
        <v>950</v>
      </c>
    </row>
    <row r="168" spans="4:4" x14ac:dyDescent="0.25">
      <c r="D168" s="52" t="s">
        <v>951</v>
      </c>
    </row>
    <row r="169" spans="4:4" ht="25.5" x14ac:dyDescent="0.25">
      <c r="D169" s="51" t="s">
        <v>952</v>
      </c>
    </row>
    <row r="170" spans="4:4" x14ac:dyDescent="0.25">
      <c r="D170" s="52" t="s">
        <v>953</v>
      </c>
    </row>
    <row r="171" spans="4:4" ht="25.5" x14ac:dyDescent="0.25">
      <c r="D171" s="51" t="s">
        <v>954</v>
      </c>
    </row>
    <row r="172" spans="4:4" ht="25.5" x14ac:dyDescent="0.25">
      <c r="D172" s="51" t="s">
        <v>955</v>
      </c>
    </row>
    <row r="173" spans="4:4" x14ac:dyDescent="0.25">
      <c r="D173" s="52" t="s">
        <v>956</v>
      </c>
    </row>
    <row r="174" spans="4:4" ht="25.5" x14ac:dyDescent="0.25">
      <c r="D174" s="51" t="s">
        <v>957</v>
      </c>
    </row>
    <row r="175" spans="4:4" x14ac:dyDescent="0.25">
      <c r="D175" s="52" t="s">
        <v>958</v>
      </c>
    </row>
    <row r="176" spans="4:4" ht="25.5" x14ac:dyDescent="0.25">
      <c r="D176" s="51" t="s">
        <v>959</v>
      </c>
    </row>
    <row r="177" spans="4:4" ht="25.5" x14ac:dyDescent="0.25">
      <c r="D177" s="51" t="s">
        <v>960</v>
      </c>
    </row>
    <row r="178" spans="4:4" ht="25.5" x14ac:dyDescent="0.25">
      <c r="D178" s="51" t="s">
        <v>961</v>
      </c>
    </row>
    <row r="179" spans="4:4" ht="25.5" x14ac:dyDescent="0.25">
      <c r="D179" s="51" t="s">
        <v>962</v>
      </c>
    </row>
    <row r="180" spans="4:4" ht="25.5" x14ac:dyDescent="0.25">
      <c r="D180" s="51" t="s">
        <v>963</v>
      </c>
    </row>
    <row r="181" spans="4:4" ht="25.5" x14ac:dyDescent="0.25">
      <c r="D181" s="51" t="s">
        <v>964</v>
      </c>
    </row>
    <row r="182" spans="4:4" ht="25.5" x14ac:dyDescent="0.25">
      <c r="D182" s="51" t="s">
        <v>965</v>
      </c>
    </row>
    <row r="183" spans="4:4" x14ac:dyDescent="0.25">
      <c r="D183" s="52" t="s">
        <v>966</v>
      </c>
    </row>
    <row r="184" spans="4:4" ht="25.5" x14ac:dyDescent="0.25">
      <c r="D184" s="51" t="s">
        <v>967</v>
      </c>
    </row>
    <row r="185" spans="4:4" ht="25.5" x14ac:dyDescent="0.25">
      <c r="D185" s="51" t="s">
        <v>968</v>
      </c>
    </row>
    <row r="186" spans="4:4" x14ac:dyDescent="0.25">
      <c r="D186" s="52" t="s">
        <v>969</v>
      </c>
    </row>
    <row r="187" spans="4:4" x14ac:dyDescent="0.25">
      <c r="D187" s="52" t="s">
        <v>970</v>
      </c>
    </row>
    <row r="188" spans="4:4" x14ac:dyDescent="0.25">
      <c r="D188" s="52" t="s">
        <v>971</v>
      </c>
    </row>
    <row r="189" spans="4:4" ht="25.5" x14ac:dyDescent="0.25">
      <c r="D189" s="51" t="s">
        <v>972</v>
      </c>
    </row>
    <row r="190" spans="4:4" ht="25.5" x14ac:dyDescent="0.25">
      <c r="D190" s="51" t="s">
        <v>973</v>
      </c>
    </row>
    <row r="191" spans="4:4" x14ac:dyDescent="0.25">
      <c r="D191" s="52" t="s">
        <v>974</v>
      </c>
    </row>
    <row r="192" spans="4:4" x14ac:dyDescent="0.25">
      <c r="D192" s="52" t="s">
        <v>975</v>
      </c>
    </row>
    <row r="193" spans="4:4" x14ac:dyDescent="0.25">
      <c r="D193" s="52" t="s">
        <v>976</v>
      </c>
    </row>
    <row r="194" spans="4:4" x14ac:dyDescent="0.25">
      <c r="D194" s="52" t="s">
        <v>977</v>
      </c>
    </row>
    <row r="195" spans="4:4" x14ac:dyDescent="0.25">
      <c r="D195" s="52" t="s">
        <v>978</v>
      </c>
    </row>
    <row r="196" spans="4:4" x14ac:dyDescent="0.25">
      <c r="D196" s="52" t="s">
        <v>979</v>
      </c>
    </row>
    <row r="197" spans="4:4" x14ac:dyDescent="0.25">
      <c r="D197" s="52" t="s">
        <v>980</v>
      </c>
    </row>
    <row r="198" spans="4:4" x14ac:dyDescent="0.25">
      <c r="D198" s="52" t="s">
        <v>981</v>
      </c>
    </row>
    <row r="199" spans="4:4" x14ac:dyDescent="0.25">
      <c r="D199" s="52" t="s">
        <v>981</v>
      </c>
    </row>
    <row r="200" spans="4:4" x14ac:dyDescent="0.25">
      <c r="D200" s="52" t="s">
        <v>982</v>
      </c>
    </row>
    <row r="201" spans="4:4" x14ac:dyDescent="0.25">
      <c r="D201" s="52" t="s">
        <v>983</v>
      </c>
    </row>
    <row r="202" spans="4:4" x14ac:dyDescent="0.25">
      <c r="D202" s="52" t="s">
        <v>984</v>
      </c>
    </row>
    <row r="203" spans="4:4" x14ac:dyDescent="0.25">
      <c r="D203" s="52" t="s">
        <v>985</v>
      </c>
    </row>
    <row r="204" spans="4:4" x14ac:dyDescent="0.25">
      <c r="D204" s="52" t="s">
        <v>985</v>
      </c>
    </row>
    <row r="205" spans="4:4" x14ac:dyDescent="0.25">
      <c r="D205" s="52" t="s">
        <v>986</v>
      </c>
    </row>
    <row r="206" spans="4:4" x14ac:dyDescent="0.25">
      <c r="D206" s="52" t="s">
        <v>987</v>
      </c>
    </row>
    <row r="207" spans="4:4" x14ac:dyDescent="0.25">
      <c r="D207" s="52" t="s">
        <v>988</v>
      </c>
    </row>
    <row r="208" spans="4:4" x14ac:dyDescent="0.25">
      <c r="D208" s="52" t="s">
        <v>989</v>
      </c>
    </row>
    <row r="209" spans="4:4" x14ac:dyDescent="0.25">
      <c r="D209" s="52" t="s">
        <v>990</v>
      </c>
    </row>
    <row r="210" spans="4:4" x14ac:dyDescent="0.25">
      <c r="D210" s="52" t="s">
        <v>991</v>
      </c>
    </row>
    <row r="211" spans="4:4" x14ac:dyDescent="0.25">
      <c r="D211" s="52" t="s">
        <v>992</v>
      </c>
    </row>
    <row r="212" spans="4:4" x14ac:dyDescent="0.25">
      <c r="D212" s="52" t="s">
        <v>993</v>
      </c>
    </row>
    <row r="213" spans="4:4" x14ac:dyDescent="0.25">
      <c r="D213" s="52" t="s">
        <v>994</v>
      </c>
    </row>
    <row r="214" spans="4:4" x14ac:dyDescent="0.25">
      <c r="D214" s="52" t="s">
        <v>995</v>
      </c>
    </row>
    <row r="215" spans="4:4" x14ac:dyDescent="0.25">
      <c r="D215" s="52" t="s">
        <v>996</v>
      </c>
    </row>
    <row r="216" spans="4:4" ht="25.5" x14ac:dyDescent="0.25">
      <c r="D216" s="51" t="s">
        <v>997</v>
      </c>
    </row>
    <row r="217" spans="4:4" ht="25.5" x14ac:dyDescent="0.25">
      <c r="D217" s="51" t="s">
        <v>998</v>
      </c>
    </row>
    <row r="218" spans="4:4" ht="25.5" x14ac:dyDescent="0.25">
      <c r="D218" s="51" t="s">
        <v>999</v>
      </c>
    </row>
    <row r="219" spans="4:4" ht="25.5" x14ac:dyDescent="0.25">
      <c r="D219" s="51" t="s">
        <v>1000</v>
      </c>
    </row>
    <row r="220" spans="4:4" ht="25.5" x14ac:dyDescent="0.25">
      <c r="D220" s="51" t="s">
        <v>1001</v>
      </c>
    </row>
    <row r="221" spans="4:4" ht="25.5" x14ac:dyDescent="0.25">
      <c r="D221" s="51" t="s">
        <v>1002</v>
      </c>
    </row>
    <row r="222" spans="4:4" ht="25.5" x14ac:dyDescent="0.25">
      <c r="D222" s="51" t="s">
        <v>1003</v>
      </c>
    </row>
  </sheetData>
  <sheetProtection algorithmName="SHA-512" hashValue="M+643TWNn36NGvDHf/VjrUXu0+tK0HMIIBLw2IeX2igXRmYBpFtzUylxSawCwlcF+Upm18s2p/83uGBlh2haiQ==" saltValue="onzsKAoIAMHZngMrqK5z5w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0"/>
  <sheetViews>
    <sheetView workbookViewId="0">
      <selection activeCell="D3" sqref="D3"/>
    </sheetView>
  </sheetViews>
  <sheetFormatPr defaultRowHeight="15" x14ac:dyDescent="0.25"/>
  <cols>
    <col min="1" max="1" width="13.5703125" customWidth="1"/>
    <col min="2" max="2" width="35.42578125" customWidth="1"/>
    <col min="3" max="3" width="33.5703125" customWidth="1"/>
    <col min="4" max="4" width="18.5703125" customWidth="1"/>
    <col min="5" max="5" width="27.5703125" customWidth="1"/>
    <col min="6" max="6" width="20.85546875" customWidth="1"/>
    <col min="7" max="7" width="25.5703125" customWidth="1"/>
    <col min="8" max="8" width="14.42578125" customWidth="1"/>
    <col min="9" max="9" width="18.5703125" customWidth="1"/>
  </cols>
  <sheetData>
    <row r="1" spans="1:9" x14ac:dyDescent="0.25">
      <c r="A1" t="s">
        <v>15</v>
      </c>
    </row>
    <row r="2" spans="1:9" x14ac:dyDescent="0.25">
      <c r="A2" t="str">
        <f>IF('Adient EDI Form'!D27="Web EDI"," ","ANSI_x12")</f>
        <v>ANSI_x12</v>
      </c>
      <c r="B2" t="s">
        <v>163</v>
      </c>
      <c r="C2" s="15" t="str">
        <f>IF('Adient EDI Form'!$L$12="Plant Id","Select Plant Above",IF(ISBLANK(VLOOKUP('Adient EDI Form'!$L$12,'Plant Listing'!$C:$H,6,FALSE)),"",VLOOKUP('Adient EDI Form'!$L$12,'Plant Listing'!$C:$H,6,FALSE)))</f>
        <v>Select Plant Above</v>
      </c>
      <c r="D2" t="s">
        <v>165</v>
      </c>
      <c r="E2" s="17" t="s">
        <v>1004</v>
      </c>
      <c r="F2" t="s">
        <v>171</v>
      </c>
      <c r="G2" t="s">
        <v>1005</v>
      </c>
      <c r="H2" s="15" t="s">
        <v>173</v>
      </c>
      <c r="I2" t="s">
        <v>1006</v>
      </c>
    </row>
    <row r="3" spans="1:9" x14ac:dyDescent="0.25">
      <c r="A3" t="str">
        <f>IF(OR('Adient EDI Form'!D27="VAN",'Adient EDI Form'!D27="Web EDI")," ","EDIFACT")</f>
        <v>EDIFACT</v>
      </c>
      <c r="B3" s="15" t="s">
        <v>178</v>
      </c>
      <c r="C3" s="15" t="str">
        <f>IF('Adient EDI Form'!$L$12="Plant Id","Select Plant Above",IF(ISBLANK(VLOOKUP('Adient EDI Form'!$L$12,'Plant Listing'!$C:$K,9,FALSE)),"",VLOOKUP('Adient EDI Form'!$L$12,'Plant Listing'!$C:$K,9,FALSE)))</f>
        <v>Select Plant Above</v>
      </c>
      <c r="D3" s="15" t="s">
        <v>176</v>
      </c>
      <c r="E3" s="15"/>
      <c r="F3" t="s">
        <v>180</v>
      </c>
      <c r="G3" s="15"/>
      <c r="H3" t="s">
        <v>1007</v>
      </c>
      <c r="I3" s="15" t="s">
        <v>1008</v>
      </c>
    </row>
    <row r="4" spans="1:9" x14ac:dyDescent="0.25">
      <c r="A4" t="str">
        <f>IF('Adient EDI Form'!D27="Web EDI","Web_EDI"," ")</f>
        <v xml:space="preserve"> </v>
      </c>
      <c r="B4" s="10" t="s">
        <v>1009</v>
      </c>
      <c r="C4" s="16" t="s">
        <v>1010</v>
      </c>
    </row>
    <row r="5" spans="1:9" x14ac:dyDescent="0.25">
      <c r="B5" s="15" t="s">
        <v>182</v>
      </c>
      <c r="D5" t="s">
        <v>143</v>
      </c>
    </row>
    <row r="6" spans="1:9" x14ac:dyDescent="0.25">
      <c r="C6" s="15"/>
    </row>
    <row r="20" spans="5:5" x14ac:dyDescent="0.25">
      <c r="E20" s="15"/>
    </row>
  </sheetData>
  <hyperlinks>
    <hyperlink ref="C4" r:id="rId1" xr:uid="{00000000-0004-0000-0800-000000000000}"/>
  </hyperlinks>
  <pageMargins left="0.7" right="0.7" top="0.75" bottom="0.75" header="0.3" footer="0.3"/>
  <pageSetup orientation="portrait" r:id="rId2"/>
  <headerFooter>
    <oddFooter>&amp;C&amp;1#&amp;"Calibri"&amp;10&amp;K000000Adient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16fed-3cb8-45ea-9744-ba0aeadce716" xsi:nil="true"/>
    <lcf76f155ced4ddcb4097134ff3c332f xmlns="2d6e531f-a168-4adc-ad6f-c850828d05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DD027BD8628146A72B4BCFEF32E4F0" ma:contentTypeVersion="14" ma:contentTypeDescription="Create a new document." ma:contentTypeScope="" ma:versionID="21703ac661a40a0faecad85ee722e428">
  <xsd:schema xmlns:xsd="http://www.w3.org/2001/XMLSchema" xmlns:xs="http://www.w3.org/2001/XMLSchema" xmlns:p="http://schemas.microsoft.com/office/2006/metadata/properties" xmlns:ns2="2d6e531f-a168-4adc-ad6f-c850828d0545" xmlns:ns3="96a364cd-ffa9-45ab-9528-ae8528406021" xmlns:ns4="a5a16fed-3cb8-45ea-9744-ba0aeadce716" targetNamespace="http://schemas.microsoft.com/office/2006/metadata/properties" ma:root="true" ma:fieldsID="d315fcfc61313ccea4cba101ca990a8c" ns2:_="" ns3:_="" ns4:_="">
    <xsd:import namespace="2d6e531f-a168-4adc-ad6f-c850828d0545"/>
    <xsd:import namespace="96a364cd-ffa9-45ab-9528-ae8528406021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e531f-a168-4adc-ad6f-c850828d0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526fc05-8f87-4b41-a902-b7c5639a36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364cd-ffa9-45ab-9528-ae8528406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5ac8563-3e08-4f0a-95b9-da52f3288e1d}" ma:internalName="TaxCatchAll" ma:showField="CatchAllData" ma:web="96a364cd-ffa9-45ab-9528-ae8528406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1E737-CC3A-47A1-BB77-4AA25201C3ED}">
  <ds:schemaRefs>
    <ds:schemaRef ds:uri="http://schemas.microsoft.com/office/2006/metadata/properties"/>
    <ds:schemaRef ds:uri="http://schemas.microsoft.com/office/infopath/2007/PartnerControls"/>
    <ds:schemaRef ds:uri="a5a16fed-3cb8-45ea-9744-ba0aeadce716"/>
    <ds:schemaRef ds:uri="2d6e531f-a168-4adc-ad6f-c850828d0545"/>
  </ds:schemaRefs>
</ds:datastoreItem>
</file>

<file path=customXml/itemProps2.xml><?xml version="1.0" encoding="utf-8"?>
<ds:datastoreItem xmlns:ds="http://schemas.openxmlformats.org/officeDocument/2006/customXml" ds:itemID="{479FAEBA-8BC4-415B-A868-84CAA9E572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9D181-6664-43AF-B0C8-D9FB04630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e531f-a168-4adc-ad6f-c850828d0545"/>
    <ds:schemaRef ds:uri="96a364cd-ffa9-45ab-9528-ae8528406021"/>
    <ds:schemaRef ds:uri="a5a16fed-3cb8-45ea-9744-ba0aeadce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Adient EDI Form</vt:lpstr>
      <vt:lpstr>ADIENT_master_starter</vt:lpstr>
      <vt:lpstr>docs</vt:lpstr>
      <vt:lpstr>COMM</vt:lpstr>
      <vt:lpstr>Adient ERP</vt:lpstr>
      <vt:lpstr>definitions</vt:lpstr>
      <vt:lpstr>Plant Listing</vt:lpstr>
      <vt:lpstr>Checklist</vt:lpstr>
      <vt:lpstr>Format</vt:lpstr>
      <vt:lpstr>ANSI_x12</vt:lpstr>
      <vt:lpstr>EDIFACT</vt:lpstr>
      <vt:lpstr>Odette</vt:lpstr>
      <vt:lpstr>Web_EDI</vt:lpstr>
    </vt:vector>
  </TitlesOfParts>
  <Manager/>
  <Company>Adient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Dietzen</dc:creator>
  <cp:keywords/>
  <dc:description/>
  <cp:lastModifiedBy>Darlene A Pongallo</cp:lastModifiedBy>
  <cp:revision/>
  <dcterms:created xsi:type="dcterms:W3CDTF">2011-03-30T10:54:26Z</dcterms:created>
  <dcterms:modified xsi:type="dcterms:W3CDTF">2026-06-08T16:58:55Z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0x010100FDDD027BD8628146A72B4BCFEF32E4F0</vt:lpwstr>
  </property>
  <property fmtid="{D5CDD505-2E9C-101B-9397-08002B2CF9AE}" pid="4" name="MSIP_Label_f5210792-6e5f-4945-9946-e33b2c1b77aa_Enabled">
    <vt:lpwstr>True</vt:lpwstr>
  </property>
  <property fmtid="{D5CDD505-2E9C-101B-9397-08002B2CF9AE}" pid="5" name="MSIP_Label_f5210792-6e5f-4945-9946-e33b2c1b77aa_SiteId">
    <vt:lpwstr>21f195bc-13e5-4339-82ea-ef8b8ecdd0a9</vt:lpwstr>
  </property>
  <property fmtid="{D5CDD505-2E9C-101B-9397-08002B2CF9AE}" pid="6" name="MSIP_Label_f5210792-6e5f-4945-9946-e33b2c1b77aa_Ref">
    <vt:lpwstr>https://api.informationprotection.azure.com/api/21f195bc-13e5-4339-82ea-ef8b8ecdd0a9</vt:lpwstr>
  </property>
  <property fmtid="{D5CDD505-2E9C-101B-9397-08002B2CF9AE}" pid="7" name="MSIP_Label_f5210792-6e5f-4945-9946-e33b2c1b77aa_SetBy">
    <vt:lpwstr>bdietzmi@adient.com</vt:lpwstr>
  </property>
  <property fmtid="{D5CDD505-2E9C-101B-9397-08002B2CF9AE}" pid="8" name="MSIP_Label_f5210792-6e5f-4945-9946-e33b2c1b77aa_SetDate">
    <vt:lpwstr>2017-11-16T07:59:43.4003824-06:00</vt:lpwstr>
  </property>
  <property fmtid="{D5CDD505-2E9C-101B-9397-08002B2CF9AE}" pid="9" name="MSIP_Label_f5210792-6e5f-4945-9946-e33b2c1b77aa_Name">
    <vt:lpwstr>Internal</vt:lpwstr>
  </property>
  <property fmtid="{D5CDD505-2E9C-101B-9397-08002B2CF9AE}" pid="10" name="MSIP_Label_f5210792-6e5f-4945-9946-e33b2c1b77aa_Application">
    <vt:lpwstr>Microsoft Azure Information Protection</vt:lpwstr>
  </property>
  <property fmtid="{D5CDD505-2E9C-101B-9397-08002B2CF9AE}" pid="11" name="MSIP_Label_f5210792-6e5f-4945-9946-e33b2c1b77aa_Extended_MSFT_Method">
    <vt:lpwstr>Automatic</vt:lpwstr>
  </property>
  <property fmtid="{D5CDD505-2E9C-101B-9397-08002B2CF9AE}" pid="12" name="AuthorIds_UIVersion_11776">
    <vt:lpwstr>9</vt:lpwstr>
  </property>
  <property fmtid="{D5CDD505-2E9C-101B-9397-08002B2CF9AE}" pid="13" name="MSIP_Label_dd77c177-921f-4c67-aad2-9844fb8189cd_Enabled">
    <vt:lpwstr>true</vt:lpwstr>
  </property>
  <property fmtid="{D5CDD505-2E9C-101B-9397-08002B2CF9AE}" pid="14" name="MSIP_Label_dd77c177-921f-4c67-aad2-9844fb8189cd_SetDate">
    <vt:lpwstr>2022-09-01T14:07:03Z</vt:lpwstr>
  </property>
  <property fmtid="{D5CDD505-2E9C-101B-9397-08002B2CF9AE}" pid="15" name="MSIP_Label_dd77c177-921f-4c67-aad2-9844fb8189cd_Method">
    <vt:lpwstr>Standard</vt:lpwstr>
  </property>
  <property fmtid="{D5CDD505-2E9C-101B-9397-08002B2CF9AE}" pid="16" name="MSIP_Label_dd77c177-921f-4c67-aad2-9844fb8189cd_Name">
    <vt:lpwstr>dd77c177-921f-4c67-aad2-9844fb8189cd</vt:lpwstr>
  </property>
  <property fmtid="{D5CDD505-2E9C-101B-9397-08002B2CF9AE}" pid="17" name="MSIP_Label_dd77c177-921f-4c67-aad2-9844fb8189cd_SiteId">
    <vt:lpwstr>21f195bc-13e5-4339-82ea-ef8b8ecdd0a9</vt:lpwstr>
  </property>
  <property fmtid="{D5CDD505-2E9C-101B-9397-08002B2CF9AE}" pid="18" name="MSIP_Label_dd77c177-921f-4c67-aad2-9844fb8189cd_ActionId">
    <vt:lpwstr>74fdfa8d-189c-4cd9-b5f1-3830a766c7de</vt:lpwstr>
  </property>
  <property fmtid="{D5CDD505-2E9C-101B-9397-08002B2CF9AE}" pid="19" name="MSIP_Label_dd77c177-921f-4c67-aad2-9844fb8189cd_ContentBits">
    <vt:lpwstr>2</vt:lpwstr>
  </property>
  <property fmtid="{D5CDD505-2E9C-101B-9397-08002B2CF9AE}" pid="20" name="MediaServiceImageTags">
    <vt:lpwstr/>
  </property>
</Properties>
</file>